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cs réunion développement\"/>
    </mc:Choice>
  </mc:AlternateContent>
  <bookViews>
    <workbookView xWindow="0" yWindow="0" windowWidth="28800" windowHeight="12915" activeTab="1"/>
  </bookViews>
  <sheets>
    <sheet name="PLAQUETTE GENERALE" sheetId="1" r:id="rId1"/>
    <sheet name="CALCUL CTR PRO " sheetId="2" r:id="rId2"/>
  </sheets>
  <definedNames>
    <definedName name="_xlnm.Print_Area" localSheetId="0">'PLAQUETTE GENERALE'!$A$1:$Q$47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8" i="2" l="1"/>
  <c r="B131" i="2" l="1"/>
  <c r="B34" i="2" l="1"/>
  <c r="E126" i="2"/>
  <c r="E120" i="2" l="1"/>
  <c r="C120" i="2" s="1"/>
  <c r="B130" i="2"/>
  <c r="E130" i="2"/>
  <c r="D130" i="2"/>
  <c r="J30" i="2"/>
  <c r="B51" i="2"/>
  <c r="D8" i="2"/>
  <c r="B52" i="2" s="1"/>
  <c r="I29" i="2"/>
  <c r="B53" i="2"/>
  <c r="E43" i="2"/>
  <c r="B36" i="2"/>
  <c r="B38" i="2" s="1"/>
  <c r="C66" i="2" s="1"/>
  <c r="C101" i="2" s="1"/>
  <c r="C106" i="2" s="1"/>
  <c r="C117" i="2" l="1"/>
  <c r="C130" i="2"/>
  <c r="B78" i="2"/>
  <c r="B55" i="2"/>
  <c r="J32" i="2"/>
  <c r="J29" i="2"/>
  <c r="B80" i="2" s="1"/>
  <c r="B92" i="2" s="1"/>
  <c r="E41" i="2"/>
  <c r="E49" i="2" s="1"/>
  <c r="B43" i="2"/>
  <c r="E12" i="2"/>
  <c r="D7" i="2"/>
  <c r="B118" i="2" l="1"/>
  <c r="B124" i="2" s="1"/>
  <c r="B117" i="2"/>
  <c r="B123" i="2" s="1"/>
  <c r="B94" i="2"/>
  <c r="B105" i="2" s="1"/>
  <c r="B103" i="2"/>
  <c r="C67" i="2"/>
  <c r="B82" i="2"/>
  <c r="C90" i="2"/>
  <c r="E51" i="2"/>
  <c r="B68" i="2" s="1"/>
  <c r="B93" i="2" s="1"/>
  <c r="N26" i="1"/>
  <c r="N16" i="1"/>
  <c r="N13" i="1"/>
  <c r="N12" i="1"/>
  <c r="N11" i="1" s="1"/>
  <c r="N14" i="1" s="1"/>
  <c r="N15" i="1" s="1"/>
  <c r="P25" i="1"/>
  <c r="N22" i="1"/>
  <c r="N25" i="1" s="1"/>
  <c r="B26" i="1"/>
  <c r="B28" i="1" s="1"/>
  <c r="B27" i="1" s="1"/>
  <c r="D25" i="1"/>
  <c r="D24" i="1"/>
  <c r="D22" i="1"/>
  <c r="H22" i="1"/>
  <c r="J27" i="1" s="1"/>
  <c r="H21" i="1"/>
  <c r="J11" i="1"/>
  <c r="P11" i="1" s="1"/>
  <c r="P22" i="1" s="1"/>
  <c r="H10" i="1"/>
  <c r="H11" i="1"/>
  <c r="J16" i="1" s="1"/>
  <c r="J17" i="1" s="1"/>
  <c r="B22" i="1"/>
  <c r="B25" i="1" s="1"/>
  <c r="B11" i="1"/>
  <c r="B14" i="1" s="1"/>
  <c r="B15" i="1" s="1"/>
  <c r="A31" i="1" s="1"/>
  <c r="M41" i="1" s="1"/>
  <c r="B106" i="2" l="1"/>
  <c r="B108" i="2" s="1"/>
  <c r="B127" i="2"/>
  <c r="B133" i="2" s="1"/>
  <c r="C133" i="2" s="1"/>
  <c r="D133" i="2" s="1"/>
  <c r="E133" i="2" s="1"/>
  <c r="B128" i="2"/>
  <c r="B45" i="2"/>
  <c r="J13" i="1"/>
  <c r="P13" i="1" s="1"/>
  <c r="P24" i="1" s="1"/>
  <c r="N17" i="1"/>
  <c r="Q16" i="1" s="1"/>
  <c r="N27" i="1"/>
  <c r="N28" i="1" s="1"/>
  <c r="M33" i="1" s="1"/>
  <c r="H17" i="1"/>
  <c r="H27" i="1"/>
  <c r="C89" i="2"/>
  <c r="C95" i="2" s="1"/>
  <c r="C71" i="2"/>
  <c r="C84" i="2" s="1"/>
  <c r="B71" i="2"/>
  <c r="M35" i="1"/>
  <c r="M37" i="1" s="1"/>
  <c r="Q17" i="1"/>
  <c r="H14" i="1"/>
  <c r="H15" i="1" s="1"/>
  <c r="H16" i="1"/>
  <c r="J22" i="1"/>
  <c r="J24" i="1" s="1"/>
  <c r="D16" i="1"/>
  <c r="D17" i="1" s="1"/>
  <c r="H25" i="1"/>
  <c r="H26" i="1" s="1"/>
  <c r="G33" i="1" s="1"/>
  <c r="J28" i="1"/>
  <c r="H28" i="1" s="1"/>
  <c r="B16" i="1"/>
  <c r="A33" i="1" s="1"/>
  <c r="B134" i="2" l="1"/>
  <c r="C134" i="2" s="1"/>
  <c r="D134" i="2" s="1"/>
  <c r="E134" i="2" s="1"/>
  <c r="D101" i="2"/>
  <c r="B95" i="2"/>
  <c r="D89" i="2" s="1"/>
  <c r="B84" i="2"/>
  <c r="B86" i="2" s="1"/>
  <c r="M43" i="1"/>
  <c r="B17" i="1"/>
  <c r="B97" i="2" l="1"/>
  <c r="M47" i="1"/>
  <c r="B110" i="2" l="1"/>
  <c r="B111" i="2" s="1"/>
  <c r="B112" i="2" s="1"/>
  <c r="D139" i="2" s="1"/>
  <c r="C138" i="2" l="1"/>
  <c r="B138" i="2" s="1"/>
  <c r="C139" i="2"/>
  <c r="B139" i="2" s="1"/>
</calcChain>
</file>

<file path=xl/comments1.xml><?xml version="1.0" encoding="utf-8"?>
<comments xmlns="http://schemas.openxmlformats.org/spreadsheetml/2006/main">
  <authors>
    <author>FF Administrateur</author>
  </authors>
  <commentList>
    <comment ref="B41" authorId="0" shapeId="0">
      <text>
        <r>
          <rPr>
            <b/>
            <sz val="9"/>
            <color indexed="81"/>
            <rFont val="Tahoma"/>
            <family val="2"/>
          </rPr>
          <t>FF Administrateur:</t>
        </r>
        <r>
          <rPr>
            <sz val="9"/>
            <color indexed="81"/>
            <rFont val="Tahoma"/>
            <family val="2"/>
          </rPr>
          <t xml:space="preserve">
Mobilisation d'un tuteur pendant 52 h/AN , payé par son entreprise 13€ /heure brut +40% chg pat  ajouté d'un Coût de possession du poste vacant pendant le tutorat.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FF Administrateur:</t>
        </r>
        <r>
          <rPr>
            <sz val="9"/>
            <color indexed="81"/>
            <rFont val="Tahoma"/>
            <family val="2"/>
          </rPr>
          <t xml:space="preserve">
limité à 40h00 maxi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>FF Administrateur:</t>
        </r>
        <r>
          <rPr>
            <sz val="9"/>
            <color indexed="81"/>
            <rFont val="Tahoma"/>
            <family val="2"/>
          </rPr>
          <t xml:space="preserve">
Tarif de l'OPCALIM le plus bas 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>FF Administrateur:</t>
        </r>
        <r>
          <rPr>
            <sz val="9"/>
            <color indexed="81"/>
            <rFont val="Tahoma"/>
            <family val="2"/>
          </rPr>
          <t xml:space="preserve">
On prend le maximum de 40% de densité de formation au tarif le plus bas . Ici il est ramené à 1 an.</t>
        </r>
      </text>
    </comment>
    <comment ref="B78" authorId="0" shapeId="0">
      <text>
        <r>
          <rPr>
            <b/>
            <sz val="9"/>
            <color indexed="81"/>
            <rFont val="Tahoma"/>
            <family val="2"/>
          </rPr>
          <t>FF Administrateur:</t>
        </r>
        <r>
          <rPr>
            <sz val="9"/>
            <color indexed="81"/>
            <rFont val="Tahoma"/>
            <family val="2"/>
          </rPr>
          <t xml:space="preserve">
x stagiaires de 45 ans et + à raison de 2000 € par stagiaire</t>
        </r>
      </text>
    </comment>
  </commentList>
</comments>
</file>

<file path=xl/sharedStrings.xml><?xml version="1.0" encoding="utf-8"?>
<sst xmlns="http://schemas.openxmlformats.org/spreadsheetml/2006/main" count="313" uniqueCount="210">
  <si>
    <t>DISPOSITIF FINANCIER POUR L'INSERTION</t>
  </si>
  <si>
    <t xml:space="preserve">DISPOSITIF FINANCIER POUR LE REMPLACEMENT DU PERSONNEL SOUHAITANT UTILISER </t>
  </si>
  <si>
    <t>Pour</t>
  </si>
  <si>
    <t>Aprenants</t>
  </si>
  <si>
    <t>MSF</t>
  </si>
  <si>
    <t>H/APPRENANT</t>
  </si>
  <si>
    <t>En BINÔME</t>
  </si>
  <si>
    <t>Total Apprenants</t>
  </si>
  <si>
    <t>P.O.E.C. ou I.</t>
  </si>
  <si>
    <t>H pour le Groupe</t>
  </si>
  <si>
    <t>Stagiaires</t>
  </si>
  <si>
    <t>H/Stagiaires</t>
  </si>
  <si>
    <t>MSF ou CLEA</t>
  </si>
  <si>
    <t>FORM.TECH.</t>
  </si>
  <si>
    <t>Coût total projet PÔLE EMPLOI</t>
  </si>
  <si>
    <t>Coût total projet OPCALIM</t>
  </si>
  <si>
    <t>Coût total projet GLOBAL</t>
  </si>
  <si>
    <t>Pour le Groupe</t>
  </si>
  <si>
    <t>CLEA</t>
  </si>
  <si>
    <t>TECHNIQUE</t>
  </si>
  <si>
    <t xml:space="preserve">DU </t>
  </si>
  <si>
    <t>AU</t>
  </si>
  <si>
    <t>MOIS</t>
  </si>
  <si>
    <t xml:space="preserve">Nombre Heure </t>
  </si>
  <si>
    <t>DUREE / PERIODE PRECONISEE</t>
  </si>
  <si>
    <t>Pour 1 apprenant</t>
  </si>
  <si>
    <t>Facturation mensuel d'ILLPRO</t>
  </si>
  <si>
    <t>Formation des
Contrats de Professionalisation ou CUI-DOM
 (selon chacun)</t>
  </si>
  <si>
    <t>SALARIES DIAGNOSTICS</t>
  </si>
  <si>
    <t>Evaluation</t>
  </si>
  <si>
    <t>Nombre de groupe</t>
  </si>
  <si>
    <t>Total heure</t>
  </si>
  <si>
    <t>Coût total 1 personne</t>
  </si>
  <si>
    <t>FINANCEMENT OPCALIM</t>
  </si>
  <si>
    <t>Formation sur dispositif CPF</t>
  </si>
  <si>
    <t>H/mois</t>
  </si>
  <si>
    <t>H/hebdo</t>
  </si>
  <si>
    <t>CE QUE CELA APPORTE A L'ENTREPRISE:</t>
  </si>
  <si>
    <t>CE QUE CELA APPORTE POUR L'ORGANISME DE FORMATION</t>
  </si>
  <si>
    <t>Pour la période en Amont de la formation et contrat d'insertion</t>
  </si>
  <si>
    <t>Pour la période de la formation et contrat d'insertion</t>
  </si>
  <si>
    <t>FINANCEMENT GLOBAL PÔLE EMPLOI</t>
  </si>
  <si>
    <t>FINANCEMENT GLOBAL OPCALIM</t>
  </si>
  <si>
    <t>FINANCEMENT GLOBAL EMPLOYEUR</t>
  </si>
  <si>
    <t>Salaires des
Contrats de Professionalisation ou CUI-DOM
 (selon chacun)</t>
  </si>
  <si>
    <t>Total salariés CP</t>
  </si>
  <si>
    <t>présence entreprise</t>
  </si>
  <si>
    <t>en formation CLEA ou CQP</t>
  </si>
  <si>
    <t>Coût total projet salaire au SMIC</t>
  </si>
  <si>
    <t>Coût total projet aide au SMIC</t>
  </si>
  <si>
    <t>Global</t>
  </si>
  <si>
    <t>1 Salariés</t>
  </si>
  <si>
    <t>Remboursement des salaires par l'OPCALIM</t>
  </si>
  <si>
    <t>FORM. TECH.</t>
  </si>
  <si>
    <t>TX de remboursement SMIC (attention au réel)</t>
  </si>
  <si>
    <t>FINANCEMENT GLOBAL EMPLOYEUR les contats d'insertion</t>
  </si>
  <si>
    <t>RESULTAT DIFFERENCE ENTRE DEPENSE CONTRAT D'INSERTION ET FINANCEMENT OPCALIM DES SALAIRES</t>
  </si>
  <si>
    <t>FINANCEMENT GLOBAL DU PROJET</t>
  </si>
  <si>
    <r>
      <t>P.O.E.C.</t>
    </r>
    <r>
      <rPr>
        <sz val="26"/>
        <color theme="1"/>
        <rFont val="Calibri"/>
        <family val="2"/>
        <scheme val="minor"/>
      </rPr>
      <t xml:space="preserve"> ou</t>
    </r>
    <r>
      <rPr>
        <b/>
        <sz val="26"/>
        <color theme="1"/>
        <rFont val="Calibri"/>
        <family val="2"/>
        <scheme val="minor"/>
      </rPr>
      <t xml:space="preserve"> I. </t>
    </r>
  </si>
  <si>
    <r>
      <t>P</t>
    </r>
    <r>
      <rPr>
        <sz val="26"/>
        <color theme="1"/>
        <rFont val="Calibri"/>
        <family val="2"/>
        <scheme val="minor"/>
      </rPr>
      <t xml:space="preserve">réparation </t>
    </r>
    <r>
      <rPr>
        <b/>
        <sz val="26"/>
        <color theme="1"/>
        <rFont val="Calibri"/>
        <family val="2"/>
        <scheme val="minor"/>
      </rPr>
      <t>O</t>
    </r>
    <r>
      <rPr>
        <sz val="26"/>
        <color theme="1"/>
        <rFont val="Calibri"/>
        <family val="2"/>
        <scheme val="minor"/>
      </rPr>
      <t>pérationnelle à l'</t>
    </r>
    <r>
      <rPr>
        <b/>
        <sz val="26"/>
        <color theme="1"/>
        <rFont val="Calibri"/>
        <family val="2"/>
        <scheme val="minor"/>
      </rPr>
      <t>E</t>
    </r>
    <r>
      <rPr>
        <sz val="26"/>
        <color theme="1"/>
        <rFont val="Calibri"/>
        <family val="2"/>
        <scheme val="minor"/>
      </rPr>
      <t xml:space="preserve">mploi </t>
    </r>
    <r>
      <rPr>
        <b/>
        <sz val="26"/>
        <color theme="1"/>
        <rFont val="Calibri"/>
        <family val="2"/>
        <scheme val="minor"/>
      </rPr>
      <t>C</t>
    </r>
    <r>
      <rPr>
        <sz val="26"/>
        <color theme="1"/>
        <rFont val="Calibri"/>
        <family val="2"/>
        <scheme val="minor"/>
      </rPr>
      <t xml:space="preserve">ollectif ou </t>
    </r>
    <r>
      <rPr>
        <b/>
        <sz val="26"/>
        <color theme="1"/>
        <rFont val="Calibri"/>
        <family val="2"/>
        <scheme val="minor"/>
      </rPr>
      <t>I</t>
    </r>
    <r>
      <rPr>
        <sz val="26"/>
        <color theme="1"/>
        <rFont val="Calibri"/>
        <family val="2"/>
        <scheme val="minor"/>
      </rPr>
      <t>ndividuel</t>
    </r>
  </si>
  <si>
    <t>Coût salaires chargés/MOIS</t>
  </si>
  <si>
    <t>Total heures remboursées</t>
  </si>
  <si>
    <t>CTR PRO</t>
  </si>
  <si>
    <t>Densité de la formation</t>
  </si>
  <si>
    <t>heures</t>
  </si>
  <si>
    <t>Minimum</t>
  </si>
  <si>
    <t xml:space="preserve">Heures </t>
  </si>
  <si>
    <t>Maximum</t>
  </si>
  <si>
    <t>heures / an</t>
  </si>
  <si>
    <t>durée du ctr /6 mois</t>
  </si>
  <si>
    <t>durée du ctr/24 mois</t>
  </si>
  <si>
    <t>Prise en charge</t>
  </si>
  <si>
    <t>€/heure</t>
  </si>
  <si>
    <t>Diplômes/Niveaux</t>
  </si>
  <si>
    <t>V-VI ( CAP ou sans certification)</t>
  </si>
  <si>
    <t>Publics</t>
  </si>
  <si>
    <t xml:space="preserve">IV,III,II et I </t>
  </si>
  <si>
    <t>Prioritaires</t>
  </si>
  <si>
    <t>IV,III,II et I  ( Bac - Bac+5)</t>
  </si>
  <si>
    <t>Tous</t>
  </si>
  <si>
    <t>Tous dont les prioritaires</t>
  </si>
  <si>
    <t>OPCALIM</t>
  </si>
  <si>
    <t xml:space="preserve">Les financements </t>
  </si>
  <si>
    <t>La formation</t>
  </si>
  <si>
    <t>Le Tutorat</t>
  </si>
  <si>
    <t>Coûts pédagogiques/plafonnement</t>
  </si>
  <si>
    <t>par stagiaires</t>
  </si>
  <si>
    <t>Durée</t>
  </si>
  <si>
    <t>Coûts de la fonction tutorale</t>
  </si>
  <si>
    <t>€ / mois</t>
  </si>
  <si>
    <t>Tout stagiaires</t>
  </si>
  <si>
    <t>€/mois</t>
  </si>
  <si>
    <t xml:space="preserve">Tuteur agé de + 45 ans </t>
  </si>
  <si>
    <t>ou si le salarié tutoré est un ancien CUI</t>
  </si>
  <si>
    <t>ou si publics prioritaires des ctr Pro</t>
  </si>
  <si>
    <t>Mois maximum</t>
  </si>
  <si>
    <t xml:space="preserve">Limite des deux Plafond professionnalisation annuel entreprise  </t>
  </si>
  <si>
    <t xml:space="preserve">% de la contribution légale annuelle versée au titre de la professionnalisation </t>
  </si>
  <si>
    <t>€ par entreprise et par an</t>
  </si>
  <si>
    <t>Plafond minimum</t>
  </si>
  <si>
    <t xml:space="preserve">Prévisionnel - cas d'une entreprise du secteur INDUSTRIE ALIMENTAIRE - </t>
  </si>
  <si>
    <t>CCN de 112 à 8435</t>
  </si>
  <si>
    <t>POLE EMPLOI</t>
  </si>
  <si>
    <t xml:space="preserve">Stagiaire </t>
  </si>
  <si>
    <t>45 ans et plus</t>
  </si>
  <si>
    <t>Salaire en % SMIC</t>
  </si>
  <si>
    <t>Réglementaire</t>
  </si>
  <si>
    <t>Tps/ plein - %</t>
  </si>
  <si>
    <t xml:space="preserve"> CCN et minimum  smic</t>
  </si>
  <si>
    <t>Nombre de stagiaires</t>
  </si>
  <si>
    <t>Heures travaillés / mois</t>
  </si>
  <si>
    <t>Heures en formation / mois</t>
  </si>
  <si>
    <t>Taux horaire SMIC (2016)  en €</t>
  </si>
  <si>
    <t>Type de contrat</t>
  </si>
  <si>
    <t>CDD</t>
  </si>
  <si>
    <t>Durée du CONTRAT PRO en mois</t>
  </si>
  <si>
    <t>Coût total des salaires s/nb Stagiaires / mois</t>
  </si>
  <si>
    <t>Les coûts prévisionnels de la formation</t>
  </si>
  <si>
    <t>Coût total d'un tuteur  s/nb Stagiaires / an</t>
  </si>
  <si>
    <t>Financement  total d'un salaire brut en € / mois</t>
  </si>
  <si>
    <t>Financement  total des salaires s/nb Stagiaires / mois</t>
  </si>
  <si>
    <t>Financement  total d'un tuteur  s/nb Stagiaires / an</t>
  </si>
  <si>
    <t>Financement  total des actions de formation pour un tuteur/nb Stagiaires / an</t>
  </si>
  <si>
    <t>Financement  total des  AF pour 3  tuteurs  s/nb Stagiaires / an</t>
  </si>
  <si>
    <t xml:space="preserve">Financement total du TUTORAT </t>
  </si>
  <si>
    <t>Taux horaire de formation / FINANCEMENT à l'heure</t>
  </si>
  <si>
    <t xml:space="preserve">Nb de stagiaires </t>
  </si>
  <si>
    <t>Total du financement pour les stagiaires et pour la première année</t>
  </si>
  <si>
    <t>D</t>
  </si>
  <si>
    <t>C</t>
  </si>
  <si>
    <t xml:space="preserve">Total des coûts  des rémunérations brutes </t>
  </si>
  <si>
    <t>Total des coûts  du tutorat</t>
  </si>
  <si>
    <t>Total des financements des formations tutorat</t>
  </si>
  <si>
    <t xml:space="preserve">Allégements de cotisations patronales sur les bas et moyens  salaires </t>
  </si>
  <si>
    <t xml:space="preserve">Aide pour les entreprises de plus de 250 salariès employant plus de 4% d'alternants </t>
  </si>
  <si>
    <t>Aide de 2000€ versée à toutes les entreprises à l'embauche d'un demandeur d'emploi âgé de 45 ans et plus en ctr pro</t>
  </si>
  <si>
    <t>Aides supplémentaires en cas d'embauche d'un travailleur handicapé</t>
  </si>
  <si>
    <t>Exonération totale des cotisations patronales lorsque le salarié est âgé de 45 ans et plus</t>
  </si>
  <si>
    <t>Exonératiion spécifique pour certains groupements d'employeurs ( GEIQ)</t>
  </si>
  <si>
    <t>TOUS DE 45 ANS ET PLUS</t>
  </si>
  <si>
    <t>Total</t>
  </si>
  <si>
    <t>Aides financières  supplémentaires à l'embauche</t>
  </si>
  <si>
    <t xml:space="preserve">TUTORAT </t>
  </si>
  <si>
    <t>Totaux</t>
  </si>
  <si>
    <t xml:space="preserve">Proratisation par stagiaire / Mensuel des coûts salaires brut </t>
  </si>
  <si>
    <t xml:space="preserve">Proratisation par stagiaire / Mensuel des coûts du tutorat brut </t>
  </si>
  <si>
    <t xml:space="preserve">Proratisation par tuteur / Mensuel des financements  du tutorat </t>
  </si>
  <si>
    <t xml:space="preserve">Proratisation par stagiaire / Mensuel des financements de la formation  </t>
  </si>
  <si>
    <r>
      <t xml:space="preserve">Proratisation pour un  stagiaire / Ponctuel de l'aide des (âge&gt;45ans)  - cas général versée une seule fois à l'embauche / </t>
    </r>
    <r>
      <rPr>
        <b/>
        <i/>
        <sz val="11"/>
        <color rgb="FFC00000"/>
        <rFont val="Calibri"/>
        <family val="2"/>
        <scheme val="minor"/>
      </rPr>
      <t xml:space="preserve">Le premier mois seulement </t>
    </r>
  </si>
  <si>
    <t>Nb de mois s/période de formation</t>
  </si>
  <si>
    <t xml:space="preserve">Coût total d'un salaire brut en € / mois + charges patronales </t>
  </si>
  <si>
    <t>Chg pat./mois (40%)supp.</t>
  </si>
  <si>
    <t>Coût total des salaires s/nb Stagiaires / an ( 12 mois)</t>
  </si>
  <si>
    <t>Récapitulatif des flux financiers / 2017 -  sur  1 an</t>
  </si>
  <si>
    <t xml:space="preserve">Proratisation par stagiaire / Mensuel de l'exonération totale chg patronales </t>
  </si>
  <si>
    <t>Dispositif du financement /Coûts total  en %</t>
  </si>
  <si>
    <t>Soit 5 fois le coût total</t>
  </si>
  <si>
    <t>Soit 4 fois le coût total</t>
  </si>
  <si>
    <t>GAINS POUR L'EMPLOYEUR  -       Mensualisation pour le premier mois</t>
  </si>
  <si>
    <t xml:space="preserve">GAINS POUR L'EMPLOYEUR  -    Mensualisation pour les autres mois </t>
  </si>
  <si>
    <t xml:space="preserve">Aides à la formation - DISPOSITIF de la densité à 40% du temps financé </t>
  </si>
  <si>
    <r>
      <t xml:space="preserve">Nb d'heures de formation par stagiaire / an </t>
    </r>
    <r>
      <rPr>
        <sz val="11"/>
        <color rgb="FFC00000"/>
        <rFont val="Calibri"/>
        <family val="2"/>
        <scheme val="minor"/>
      </rPr>
      <t xml:space="preserve">( contrat pro de 24 mois - soit densité de 40% ) </t>
    </r>
  </si>
  <si>
    <t>Nbre stagiaire maximum 3</t>
  </si>
  <si>
    <t>Nbre tuteur par rapport au nbre de stagiaire (1tuteur pour 3 stgiaires)</t>
  </si>
  <si>
    <t>Coût total pour les tuteurs  s/nb Stagiaires / an</t>
  </si>
  <si>
    <t>on peu changé le chiffre ici</t>
  </si>
  <si>
    <t>rentrer le choix ici</t>
  </si>
  <si>
    <t>Coût global de la formation/tutorat  + les salaires  pour les x stagiaires/an</t>
  </si>
  <si>
    <t>ZONE COMPARATIVE DES SALARIES EN FORMATION ET LES REMPLACANTS</t>
  </si>
  <si>
    <t>Nbre de stages envisagé en CPF (1Remplaçant pour 3 salariés)</t>
  </si>
  <si>
    <t>Nbre de stages envisagé en PP (1Remplaçant pour 3 salariés)</t>
  </si>
  <si>
    <t>Diplôme prioritaires de branches intitulé et nombre d'heure global</t>
  </si>
  <si>
    <t>CQP</t>
  </si>
  <si>
    <t>NBRE HEURE GLOBALE</t>
  </si>
  <si>
    <t>NBRE HEURE HEBDO</t>
  </si>
  <si>
    <t>NBRE MOIS</t>
  </si>
  <si>
    <t>TAUX OPCA CPF</t>
  </si>
  <si>
    <t>TAUX OPCA PP</t>
  </si>
  <si>
    <t>COUT GLOBAL ACTION CPF</t>
  </si>
  <si>
    <t>COUT GLOBAL ACTION PP</t>
  </si>
  <si>
    <t>TAUX REMBOURSEMENT OPCA CPF BASE SUR SMIC CHARGE</t>
  </si>
  <si>
    <t>TAUX REMBOURSEMENT OPCA PP BASE SUR SMIC CHARGE</t>
  </si>
  <si>
    <t>PAR STAGIAIRE POUR L'ACTION</t>
  </si>
  <si>
    <t>PAR STAGIAIRE MOIS</t>
  </si>
  <si>
    <t>GAINS DE L'ENTREPRISE</t>
  </si>
  <si>
    <t>COUT GLOBAL GAINS ACTION CPF</t>
  </si>
  <si>
    <t>COUT GLOBAL GAINS ACTION PP</t>
  </si>
  <si>
    <t>POUR X STAGIAIRE POUR L'ACTION</t>
  </si>
  <si>
    <t>1 remplaçant pour 3 salariés</t>
  </si>
  <si>
    <t>nbre stagiaire remplaçant total</t>
  </si>
  <si>
    <t>Pour 3 STAGIAIRES POUR 1 REMPLACANT MOIS</t>
  </si>
  <si>
    <t>Solde dépense réelle</t>
  </si>
  <si>
    <t>Solde ( si il est négatif l'employeur  les aides financent en totalité et laissent une économie  en plus )</t>
  </si>
  <si>
    <t>Dépenses réelles chargées toutes aides confondues pour x stagiaires sur  x mois</t>
  </si>
  <si>
    <t>Dépenses réelles chargées toutes aides confondues  pour x stagiaires mensuellement</t>
  </si>
  <si>
    <t>Dépenses réelles  chargées toutes aides confondues pour 1 stagiaire mensuellement</t>
  </si>
  <si>
    <t>POUR 3 STAGIAIRES MOIS</t>
  </si>
  <si>
    <t>Légende</t>
  </si>
  <si>
    <t>ce qui est dans le raisonnement vendeur</t>
  </si>
  <si>
    <t>éléments qui constituent le raisonnement</t>
  </si>
  <si>
    <t>Le CPF va couvrir les coûts pédagogiques à l'OF</t>
  </si>
  <si>
    <t>Total des aides à la formation / Rbsmnt des salaires pendant le tps formation</t>
  </si>
  <si>
    <t>Les résultats qui ont un lien direct avec la cellule B12</t>
  </si>
  <si>
    <t>Les résultats qui ont un lien indirect avec la cellule B12</t>
  </si>
  <si>
    <t>SMIC CHARGE</t>
  </si>
  <si>
    <t>Voir avec l'OPCA pour voir si remboursement prévu</t>
  </si>
  <si>
    <t>FINANCEMENT GLOBAL REMBOURSEMENT ACTION CPF</t>
  </si>
  <si>
    <t>FINANCEMENT GLOBAL REMBOURSEMENT ACTION PP</t>
  </si>
  <si>
    <t>FINANCEMENT OPCA POUR L'ENTREPRISE</t>
  </si>
  <si>
    <t>FINANCEMENT POUR O.F.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</si>
</sst>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8"/>
      <color rgb="FF00B05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535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6">
    <xf numFmtId="0" fontId="0" fillId="0" borderId="0" xfId="0"/>
    <xf numFmtId="0" fontId="0" fillId="0" borderId="0" xfId="0" applyAlignment="1"/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4" xfId="0" applyFill="1" applyBorder="1"/>
    <xf numFmtId="0" fontId="0" fillId="2" borderId="3" xfId="0" applyFill="1" applyBorder="1"/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right" vertical="center"/>
    </xf>
    <xf numFmtId="0" fontId="0" fillId="2" borderId="9" xfId="0" applyFill="1" applyBorder="1" applyAlignment="1">
      <alignment horizontal="left" vertical="center"/>
    </xf>
    <xf numFmtId="44" fontId="3" fillId="2" borderId="8" xfId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44" fontId="4" fillId="2" borderId="8" xfId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0" fontId="0" fillId="4" borderId="4" xfId="0" applyFill="1" applyBorder="1"/>
    <xf numFmtId="0" fontId="0" fillId="4" borderId="3" xfId="0" applyFill="1" applyBorder="1"/>
    <xf numFmtId="0" fontId="2" fillId="4" borderId="0" xfId="0" applyFont="1" applyFill="1" applyBorder="1" applyAlignment="1">
      <alignment horizontal="center"/>
    </xf>
    <xf numFmtId="0" fontId="2" fillId="4" borderId="4" xfId="0" applyFont="1" applyFill="1" applyBorder="1"/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right" vertical="center"/>
    </xf>
    <xf numFmtId="0" fontId="0" fillId="4" borderId="9" xfId="0" applyFill="1" applyBorder="1" applyAlignment="1">
      <alignment horizontal="left" vertical="center"/>
    </xf>
    <xf numFmtId="44" fontId="3" fillId="4" borderId="8" xfId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44" fontId="4" fillId="4" borderId="8" xfId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1" fontId="8" fillId="4" borderId="3" xfId="0" applyNumberFormat="1" applyFont="1" applyFill="1" applyBorder="1" applyAlignment="1">
      <alignment horizontal="right" vertical="center"/>
    </xf>
    <xf numFmtId="0" fontId="0" fillId="4" borderId="4" xfId="0" applyFill="1" applyBorder="1" applyAlignment="1">
      <alignment horizontal="left" vertical="center"/>
    </xf>
    <xf numFmtId="0" fontId="0" fillId="5" borderId="3" xfId="0" applyFill="1" applyBorder="1" applyAlignment="1">
      <alignment horizontal="right"/>
    </xf>
    <xf numFmtId="0" fontId="0" fillId="5" borderId="0" xfId="0" applyFill="1" applyBorder="1" applyAlignment="1">
      <alignment horizontal="center"/>
    </xf>
    <xf numFmtId="0" fontId="0" fillId="5" borderId="4" xfId="0" applyFill="1" applyBorder="1"/>
    <xf numFmtId="0" fontId="0" fillId="5" borderId="3" xfId="0" applyFill="1" applyBorder="1"/>
    <xf numFmtId="0" fontId="2" fillId="5" borderId="0" xfId="0" applyFont="1" applyFill="1" applyBorder="1" applyAlignment="1">
      <alignment horizontal="center"/>
    </xf>
    <xf numFmtId="0" fontId="2" fillId="5" borderId="4" xfId="0" applyFont="1" applyFill="1" applyBorder="1"/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right" vertical="center"/>
    </xf>
    <xf numFmtId="0" fontId="0" fillId="5" borderId="9" xfId="0" applyFill="1" applyBorder="1" applyAlignment="1">
      <alignment horizontal="left" vertical="center"/>
    </xf>
    <xf numFmtId="44" fontId="3" fillId="5" borderId="8" xfId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44" fontId="4" fillId="5" borderId="8" xfId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1" fontId="8" fillId="5" borderId="3" xfId="0" applyNumberFormat="1" applyFont="1" applyFill="1" applyBorder="1" applyAlignment="1">
      <alignment horizontal="right" vertical="center"/>
    </xf>
    <xf numFmtId="0" fontId="0" fillId="5" borderId="4" xfId="0" applyFill="1" applyBorder="1" applyAlignment="1">
      <alignment horizontal="left" vertical="center"/>
    </xf>
    <xf numFmtId="1" fontId="8" fillId="5" borderId="5" xfId="0" applyNumberFormat="1" applyFont="1" applyFill="1" applyBorder="1" applyAlignment="1">
      <alignment horizontal="right" vertical="center"/>
    </xf>
    <xf numFmtId="0" fontId="0" fillId="5" borderId="6" xfId="0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/>
    </xf>
    <xf numFmtId="1" fontId="3" fillId="5" borderId="8" xfId="1" applyNumberFormat="1" applyFont="1" applyFill="1" applyBorder="1" applyAlignment="1">
      <alignment horizontal="center" vertical="center"/>
    </xf>
    <xf numFmtId="44" fontId="0" fillId="0" borderId="0" xfId="0" applyNumberFormat="1"/>
    <xf numFmtId="1" fontId="3" fillId="2" borderId="8" xfId="1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1" fontId="8" fillId="4" borderId="5" xfId="0" applyNumberFormat="1" applyFont="1" applyFill="1" applyBorder="1" applyAlignment="1">
      <alignment horizontal="right" vertical="center"/>
    </xf>
    <xf numFmtId="0" fontId="0" fillId="4" borderId="6" xfId="0" applyFill="1" applyBorder="1" applyAlignment="1">
      <alignment horizontal="left" vertical="center"/>
    </xf>
    <xf numFmtId="1" fontId="14" fillId="2" borderId="3" xfId="0" applyNumberFormat="1" applyFont="1" applyFill="1" applyBorder="1" applyAlignment="1">
      <alignment horizontal="right" vertical="center"/>
    </xf>
    <xf numFmtId="44" fontId="15" fillId="2" borderId="4" xfId="1" applyFont="1" applyFill="1" applyBorder="1" applyAlignment="1">
      <alignment horizontal="left" vertical="center"/>
    </xf>
    <xf numFmtId="1" fontId="14" fillId="2" borderId="5" xfId="0" applyNumberFormat="1" applyFont="1" applyFill="1" applyBorder="1" applyAlignment="1">
      <alignment horizontal="right" vertical="center"/>
    </xf>
    <xf numFmtId="44" fontId="15" fillId="2" borderId="6" xfId="1" applyFont="1" applyFill="1" applyBorder="1" applyAlignment="1">
      <alignment horizontal="left" vertical="center"/>
    </xf>
    <xf numFmtId="0" fontId="0" fillId="0" borderId="0" xfId="0" applyBorder="1"/>
    <xf numFmtId="9" fontId="0" fillId="0" borderId="37" xfId="0" applyNumberFormat="1" applyBorder="1"/>
    <xf numFmtId="9" fontId="0" fillId="0" borderId="38" xfId="0" applyNumberFormat="1" applyBorder="1"/>
    <xf numFmtId="0" fontId="0" fillId="0" borderId="39" xfId="0" applyBorder="1"/>
    <xf numFmtId="0" fontId="0" fillId="0" borderId="40" xfId="0" applyBorder="1"/>
    <xf numFmtId="0" fontId="0" fillId="0" borderId="34" xfId="0" applyBorder="1"/>
    <xf numFmtId="0" fontId="0" fillId="0" borderId="38" xfId="0" applyBorder="1"/>
    <xf numFmtId="0" fontId="0" fillId="0" borderId="20" xfId="0" applyBorder="1"/>
    <xf numFmtId="0" fontId="0" fillId="0" borderId="29" xfId="0" applyBorder="1"/>
    <xf numFmtId="0" fontId="0" fillId="0" borderId="23" xfId="0" applyBorder="1"/>
    <xf numFmtId="0" fontId="2" fillId="0" borderId="37" xfId="0" applyFont="1" applyBorder="1"/>
    <xf numFmtId="0" fontId="2" fillId="0" borderId="0" xfId="0" applyFont="1" applyBorder="1"/>
    <xf numFmtId="0" fontId="22" fillId="0" borderId="37" xfId="0" applyFont="1" applyBorder="1"/>
    <xf numFmtId="0" fontId="22" fillId="0" borderId="0" xfId="0" applyFont="1" applyBorder="1"/>
    <xf numFmtId="0" fontId="22" fillId="0" borderId="20" xfId="0" applyFont="1" applyBorder="1"/>
    <xf numFmtId="0" fontId="0" fillId="0" borderId="10" xfId="0" applyBorder="1"/>
    <xf numFmtId="0" fontId="20" fillId="9" borderId="0" xfId="0" applyFont="1" applyFill="1" applyAlignment="1">
      <alignment horizontal="center"/>
    </xf>
    <xf numFmtId="0" fontId="20" fillId="9" borderId="20" xfId="0" applyFont="1" applyFill="1" applyBorder="1"/>
    <xf numFmtId="0" fontId="21" fillId="8" borderId="0" xfId="0" applyFont="1" applyFill="1"/>
    <xf numFmtId="0" fontId="0" fillId="0" borderId="10" xfId="0" applyBorder="1" applyAlignment="1">
      <alignment horizontal="center"/>
    </xf>
    <xf numFmtId="0" fontId="0" fillId="4" borderId="10" xfId="0" applyFill="1" applyBorder="1"/>
    <xf numFmtId="0" fontId="0" fillId="13" borderId="41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3" borderId="42" xfId="0" applyFill="1" applyBorder="1" applyAlignment="1">
      <alignment horizontal="center" vertical="center"/>
    </xf>
    <xf numFmtId="0" fontId="0" fillId="13" borderId="10" xfId="0" applyFill="1" applyBorder="1" applyAlignment="1">
      <alignment horizontal="left" vertic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2" fillId="15" borderId="34" xfId="0" applyFont="1" applyFill="1" applyBorder="1" applyAlignment="1">
      <alignment horizontal="center" vertical="center" wrapText="1"/>
    </xf>
    <xf numFmtId="0" fontId="2" fillId="15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3" fillId="15" borderId="35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/>
    </xf>
    <xf numFmtId="0" fontId="20" fillId="10" borderId="0" xfId="0" applyFont="1" applyFill="1" applyBorder="1" applyAlignment="1">
      <alignment horizontal="center"/>
    </xf>
    <xf numFmtId="0" fontId="0" fillId="4" borderId="20" xfId="0" applyFill="1" applyBorder="1" applyAlignment="1">
      <alignment horizontal="left" vertical="center"/>
    </xf>
    <xf numFmtId="0" fontId="0" fillId="4" borderId="29" xfId="0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  <xf numFmtId="0" fontId="2" fillId="15" borderId="41" xfId="0" applyFont="1" applyFill="1" applyBorder="1" applyAlignment="1">
      <alignment vertical="center"/>
    </xf>
    <xf numFmtId="4" fontId="0" fillId="0" borderId="0" xfId="0" applyNumberFormat="1"/>
    <xf numFmtId="4" fontId="0" fillId="0" borderId="43" xfId="0" applyNumberFormat="1" applyBorder="1" applyAlignment="1">
      <alignment horizontal="center" vertical="center"/>
    </xf>
    <xf numFmtId="0" fontId="2" fillId="3" borderId="41" xfId="0" applyFont="1" applyFill="1" applyBorder="1" applyAlignment="1">
      <alignment vertical="center"/>
    </xf>
    <xf numFmtId="4" fontId="0" fillId="3" borderId="43" xfId="0" applyNumberFormat="1" applyFill="1" applyBorder="1" applyAlignment="1">
      <alignment horizontal="center" vertical="center"/>
    </xf>
    <xf numFmtId="0" fontId="2" fillId="0" borderId="41" xfId="0" applyFont="1" applyBorder="1"/>
    <xf numFmtId="4" fontId="4" fillId="3" borderId="43" xfId="0" applyNumberFormat="1" applyFont="1" applyFill="1" applyBorder="1" applyAlignment="1">
      <alignment horizontal="center"/>
    </xf>
    <xf numFmtId="2" fontId="0" fillId="0" borderId="0" xfId="0" applyNumberFormat="1"/>
    <xf numFmtId="0" fontId="2" fillId="3" borderId="41" xfId="0" applyFont="1" applyFill="1" applyBorder="1"/>
    <xf numFmtId="0" fontId="0" fillId="0" borderId="0" xfId="0" applyAlignment="1">
      <alignment vertical="center" wrapText="1"/>
    </xf>
    <xf numFmtId="0" fontId="2" fillId="3" borderId="41" xfId="0" applyFont="1" applyFill="1" applyBorder="1" applyAlignment="1">
      <alignment vertical="center" wrapText="1"/>
    </xf>
    <xf numFmtId="0" fontId="0" fillId="7" borderId="0" xfId="0" applyFill="1"/>
    <xf numFmtId="0" fontId="2" fillId="18" borderId="41" xfId="0" applyFont="1" applyFill="1" applyBorder="1" applyAlignment="1">
      <alignment vertical="center" wrapText="1"/>
    </xf>
    <xf numFmtId="4" fontId="0" fillId="0" borderId="37" xfId="0" applyNumberFormat="1" applyBorder="1"/>
    <xf numFmtId="4" fontId="0" fillId="0" borderId="34" xfId="0" applyNumberFormat="1" applyBorder="1" applyAlignment="1"/>
    <xf numFmtId="4" fontId="0" fillId="0" borderId="37" xfId="0" applyNumberFormat="1" applyBorder="1" applyAlignment="1"/>
    <xf numFmtId="0" fontId="0" fillId="0" borderId="0" xfId="0" applyAlignment="1">
      <alignment wrapText="1"/>
    </xf>
    <xf numFmtId="0" fontId="0" fillId="0" borderId="41" xfId="0" applyBorder="1" applyAlignment="1">
      <alignment horizontal="center"/>
    </xf>
    <xf numFmtId="4" fontId="0" fillId="0" borderId="20" xfId="0" applyNumberFormat="1" applyBorder="1" applyAlignment="1"/>
    <xf numFmtId="4" fontId="0" fillId="0" borderId="29" xfId="0" applyNumberFormat="1" applyBorder="1" applyAlignment="1"/>
    <xf numFmtId="4" fontId="0" fillId="0" borderId="10" xfId="0" applyNumberFormat="1" applyBorder="1"/>
    <xf numFmtId="0" fontId="0" fillId="0" borderId="10" xfId="0" applyBorder="1" applyAlignment="1">
      <alignment horizontal="right"/>
    </xf>
    <xf numFmtId="4" fontId="0" fillId="0" borderId="41" xfId="0" applyNumberFormat="1" applyBorder="1" applyAlignment="1"/>
    <xf numFmtId="4" fontId="0" fillId="0" borderId="10" xfId="0" applyNumberFormat="1" applyBorder="1" applyAlignment="1"/>
    <xf numFmtId="4" fontId="0" fillId="0" borderId="41" xfId="0" applyNumberFormat="1" applyBorder="1"/>
    <xf numFmtId="4" fontId="0" fillId="0" borderId="20" xfId="0" applyNumberFormat="1" applyBorder="1"/>
    <xf numFmtId="4" fontId="0" fillId="0" borderId="29" xfId="0" applyNumberFormat="1" applyBorder="1"/>
    <xf numFmtId="4" fontId="0" fillId="0" borderId="23" xfId="0" applyNumberFormat="1" applyBorder="1"/>
    <xf numFmtId="4" fontId="0" fillId="0" borderId="43" xfId="0" applyNumberFormat="1" applyBorder="1"/>
    <xf numFmtId="4" fontId="0" fillId="0" borderId="34" xfId="0" applyNumberFormat="1" applyBorder="1"/>
    <xf numFmtId="4" fontId="0" fillId="0" borderId="38" xfId="0" applyNumberFormat="1" applyBorder="1"/>
    <xf numFmtId="164" fontId="0" fillId="13" borderId="10" xfId="0" applyNumberFormat="1" applyFill="1" applyBorder="1" applyAlignment="1">
      <alignment horizontal="right" vertical="center"/>
    </xf>
    <xf numFmtId="0" fontId="2" fillId="15" borderId="38" xfId="0" applyFont="1" applyFill="1" applyBorder="1" applyAlignment="1">
      <alignment vertical="center"/>
    </xf>
    <xf numFmtId="4" fontId="0" fillId="0" borderId="40" xfId="0" applyNumberFormat="1" applyBorder="1" applyAlignment="1">
      <alignment horizontal="center" vertical="center"/>
    </xf>
    <xf numFmtId="0" fontId="2" fillId="18" borderId="38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2" fillId="0" borderId="41" xfId="0" applyFont="1" applyBorder="1" applyAlignment="1">
      <alignment horizontal="right"/>
    </xf>
    <xf numFmtId="0" fontId="22" fillId="0" borderId="41" xfId="0" applyFont="1" applyBorder="1"/>
    <xf numFmtId="0" fontId="22" fillId="0" borderId="10" xfId="0" applyFont="1" applyFill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4" fontId="20" fillId="14" borderId="35" xfId="0" applyNumberFormat="1" applyFont="1" applyFill="1" applyBorder="1" applyAlignment="1">
      <alignment horizontal="center" vertical="center"/>
    </xf>
    <xf numFmtId="1" fontId="0" fillId="0" borderId="43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0" fontId="30" fillId="16" borderId="10" xfId="0" applyFont="1" applyFill="1" applyBorder="1" applyAlignment="1">
      <alignment horizontal="center" vertical="center" wrapText="1"/>
    </xf>
    <xf numFmtId="0" fontId="0" fillId="19" borderId="0" xfId="0" applyFill="1"/>
    <xf numFmtId="0" fontId="0" fillId="19" borderId="34" xfId="0" applyFill="1" applyBorder="1"/>
    <xf numFmtId="3" fontId="3" fillId="19" borderId="36" xfId="0" applyNumberFormat="1" applyFont="1" applyFill="1" applyBorder="1"/>
    <xf numFmtId="2" fontId="0" fillId="0" borderId="40" xfId="0" applyNumberFormat="1" applyBorder="1" applyAlignment="1">
      <alignment horizontal="center" vertical="center" wrapText="1"/>
    </xf>
    <xf numFmtId="0" fontId="22" fillId="14" borderId="41" xfId="0" applyFont="1" applyFill="1" applyBorder="1" applyAlignment="1">
      <alignment wrapText="1"/>
    </xf>
    <xf numFmtId="0" fontId="0" fillId="17" borderId="10" xfId="0" applyFill="1" applyBorder="1" applyAlignment="1">
      <alignment horizontal="center" vertical="center"/>
    </xf>
    <xf numFmtId="0" fontId="27" fillId="0" borderId="42" xfId="0" applyFont="1" applyBorder="1"/>
    <xf numFmtId="0" fontId="22" fillId="0" borderId="42" xfId="0" applyFont="1" applyBorder="1"/>
    <xf numFmtId="0" fontId="2" fillId="0" borderId="43" xfId="0" applyFont="1" applyBorder="1"/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1" fillId="0" borderId="0" xfId="0" applyFont="1"/>
    <xf numFmtId="0" fontId="31" fillId="14" borderId="0" xfId="0" applyFont="1" applyFill="1" applyBorder="1"/>
    <xf numFmtId="2" fontId="0" fillId="19" borderId="0" xfId="0" applyNumberFormat="1" applyFill="1"/>
    <xf numFmtId="0" fontId="0" fillId="21" borderId="0" xfId="0" applyFill="1"/>
    <xf numFmtId="0" fontId="0" fillId="0" borderId="0" xfId="0" applyFill="1"/>
    <xf numFmtId="0" fontId="2" fillId="18" borderId="41" xfId="0" applyFont="1" applyFill="1" applyBorder="1" applyAlignment="1">
      <alignment horizontal="center" vertical="center" wrapText="1"/>
    </xf>
    <xf numFmtId="0" fontId="2" fillId="20" borderId="0" xfId="0" applyFont="1" applyFill="1" applyAlignment="1">
      <alignment horizontal="right"/>
    </xf>
    <xf numFmtId="0" fontId="0" fillId="23" borderId="0" xfId="0" applyFill="1"/>
    <xf numFmtId="0" fontId="0" fillId="24" borderId="0" xfId="0" applyFill="1"/>
    <xf numFmtId="0" fontId="0" fillId="21" borderId="0" xfId="0" applyFill="1" applyAlignment="1">
      <alignment horizontal="center"/>
    </xf>
    <xf numFmtId="0" fontId="0" fillId="21" borderId="0" xfId="0" applyFill="1" applyAlignment="1">
      <alignment horizontal="center" vertical="center"/>
    </xf>
    <xf numFmtId="0" fontId="2" fillId="21" borderId="0" xfId="0" applyFont="1" applyFill="1" applyAlignment="1">
      <alignment horizontal="center" vertical="center"/>
    </xf>
    <xf numFmtId="0" fontId="0" fillId="23" borderId="0" xfId="0" applyFill="1" applyAlignment="1">
      <alignment horizontal="right"/>
    </xf>
    <xf numFmtId="0" fontId="0" fillId="24" borderId="0" xfId="0" applyFill="1" applyAlignment="1">
      <alignment horizontal="right"/>
    </xf>
    <xf numFmtId="0" fontId="4" fillId="23" borderId="0" xfId="0" applyFont="1" applyFill="1" applyAlignment="1">
      <alignment horizontal="right"/>
    </xf>
    <xf numFmtId="0" fontId="4" fillId="24" borderId="0" xfId="0" applyFont="1" applyFill="1" applyAlignment="1">
      <alignment horizontal="right"/>
    </xf>
    <xf numFmtId="43" fontId="4" fillId="0" borderId="0" xfId="2" applyFont="1"/>
    <xf numFmtId="0" fontId="11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23" borderId="0" xfId="0" applyFill="1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4" fillId="23" borderId="0" xfId="0" applyFont="1" applyFill="1" applyAlignment="1">
      <alignment horizontal="center" vertical="center"/>
    </xf>
    <xf numFmtId="0" fontId="4" fillId="23" borderId="0" xfId="0" applyFont="1" applyFill="1" applyAlignment="1">
      <alignment horizontal="center" vertical="center" wrapText="1"/>
    </xf>
    <xf numFmtId="43" fontId="4" fillId="20" borderId="0" xfId="2" applyFont="1" applyFill="1" applyAlignment="1">
      <alignment horizontal="left"/>
    </xf>
    <xf numFmtId="43" fontId="4" fillId="0" borderId="0" xfId="2" applyFont="1" applyFill="1" applyAlignment="1">
      <alignment horizontal="left"/>
    </xf>
    <xf numFmtId="0" fontId="27" fillId="0" borderId="0" xfId="0" applyFont="1" applyFill="1"/>
    <xf numFmtId="0" fontId="0" fillId="18" borderId="10" xfId="0" applyFill="1" applyBorder="1"/>
    <xf numFmtId="0" fontId="3" fillId="17" borderId="0" xfId="0" applyFont="1" applyFill="1" applyAlignment="1">
      <alignment horizontal="center" vertical="center"/>
    </xf>
    <xf numFmtId="0" fontId="0" fillId="17" borderId="0" xfId="0" applyFill="1"/>
    <xf numFmtId="0" fontId="4" fillId="17" borderId="0" xfId="0" applyFont="1" applyFill="1" applyAlignment="1">
      <alignment horizontal="center" vertical="center"/>
    </xf>
    <xf numFmtId="43" fontId="4" fillId="17" borderId="0" xfId="2" applyFont="1" applyFill="1"/>
    <xf numFmtId="0" fontId="32" fillId="0" borderId="0" xfId="0" applyFont="1"/>
    <xf numFmtId="0" fontId="0" fillId="17" borderId="10" xfId="0" applyFill="1" applyBorder="1"/>
    <xf numFmtId="43" fontId="33" fillId="25" borderId="0" xfId="2" applyFont="1" applyFill="1"/>
    <xf numFmtId="43" fontId="4" fillId="27" borderId="0" xfId="2" applyFont="1" applyFill="1"/>
    <xf numFmtId="43" fontId="4" fillId="14" borderId="0" xfId="2" applyFont="1" applyFill="1"/>
    <xf numFmtId="0" fontId="0" fillId="14" borderId="0" xfId="0" applyFill="1"/>
    <xf numFmtId="0" fontId="0" fillId="27" borderId="0" xfId="0" applyFill="1"/>
    <xf numFmtId="0" fontId="0" fillId="25" borderId="0" xfId="0" applyFill="1"/>
    <xf numFmtId="0" fontId="0" fillId="0" borderId="0" xfId="0" applyAlignment="1">
      <alignment horizontal="center" vertical="center"/>
    </xf>
    <xf numFmtId="0" fontId="0" fillId="17" borderId="0" xfId="0" applyFill="1" applyAlignment="1">
      <alignment horizontal="center"/>
    </xf>
    <xf numFmtId="0" fontId="27" fillId="21" borderId="0" xfId="0" applyFont="1" applyFill="1"/>
    <xf numFmtId="0" fontId="0" fillId="0" borderId="0" xfId="0" applyAlignment="1">
      <alignment vertical="center"/>
    </xf>
    <xf numFmtId="0" fontId="2" fillId="15" borderId="41" xfId="0" applyFont="1" applyFill="1" applyBorder="1" applyAlignment="1">
      <alignment horizontal="left" vertical="center"/>
    </xf>
    <xf numFmtId="0" fontId="0" fillId="0" borderId="41" xfId="0" applyFill="1" applyBorder="1" applyAlignment="1">
      <alignment horizontal="right" wrapText="1"/>
    </xf>
    <xf numFmtId="0" fontId="0" fillId="0" borderId="41" xfId="0" applyFill="1" applyBorder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43" fontId="33" fillId="25" borderId="0" xfId="2" applyFont="1" applyFill="1" applyAlignment="1">
      <alignment wrapText="1"/>
    </xf>
    <xf numFmtId="43" fontId="33" fillId="25" borderId="0" xfId="2" applyFont="1" applyFill="1" applyAlignment="1">
      <alignment horizontal="center" vertical="center"/>
    </xf>
    <xf numFmtId="0" fontId="22" fillId="0" borderId="41" xfId="0" applyFont="1" applyFill="1" applyBorder="1" applyAlignment="1">
      <alignment wrapText="1"/>
    </xf>
    <xf numFmtId="1" fontId="0" fillId="0" borderId="10" xfId="0" applyNumberFormat="1" applyFill="1" applyBorder="1" applyAlignment="1">
      <alignment horizontal="center"/>
    </xf>
    <xf numFmtId="0" fontId="22" fillId="0" borderId="41" xfId="0" applyFont="1" applyFill="1" applyBorder="1"/>
    <xf numFmtId="1" fontId="0" fillId="0" borderId="23" xfId="0" applyNumberFormat="1" applyFill="1" applyBorder="1" applyAlignment="1">
      <alignment horizontal="center"/>
    </xf>
    <xf numFmtId="0" fontId="4" fillId="21" borderId="0" xfId="0" applyFont="1" applyFill="1" applyAlignment="1" applyProtection="1">
      <alignment horizontal="center"/>
      <protection locked="0"/>
    </xf>
    <xf numFmtId="0" fontId="0" fillId="21" borderId="43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21" borderId="0" xfId="0" applyFill="1" applyProtection="1">
      <protection locked="0"/>
    </xf>
    <xf numFmtId="0" fontId="4" fillId="21" borderId="0" xfId="0" applyFont="1" applyFill="1" applyAlignment="1" applyProtection="1">
      <alignment horizontal="center" vertical="center"/>
      <protection locked="0"/>
    </xf>
    <xf numFmtId="0" fontId="4" fillId="17" borderId="0" xfId="0" applyFont="1" applyFill="1" applyAlignment="1" applyProtection="1">
      <alignment horizontal="center" vertical="center"/>
      <protection locked="0"/>
    </xf>
    <xf numFmtId="2" fontId="5" fillId="17" borderId="0" xfId="0" applyNumberFormat="1" applyFont="1" applyFill="1" applyAlignment="1" applyProtection="1">
      <alignment horizontal="center" vertical="center"/>
      <protection locked="0"/>
    </xf>
    <xf numFmtId="0" fontId="0" fillId="17" borderId="0" xfId="0" applyFill="1" applyAlignment="1" applyProtection="1">
      <alignment horizontal="center"/>
      <protection locked="0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14" fontId="4" fillId="5" borderId="3" xfId="0" applyNumberFormat="1" applyFont="1" applyFill="1" applyBorder="1" applyAlignment="1">
      <alignment horizontal="center" vertical="center"/>
    </xf>
    <xf numFmtId="14" fontId="4" fillId="5" borderId="4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14" fontId="4" fillId="4" borderId="3" xfId="0" applyNumberFormat="1" applyFont="1" applyFill="1" applyBorder="1" applyAlignment="1">
      <alignment horizontal="center" vertical="center"/>
    </xf>
    <xf numFmtId="14" fontId="4" fillId="4" borderId="4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4" fontId="9" fillId="5" borderId="31" xfId="0" applyNumberFormat="1" applyFont="1" applyFill="1" applyBorder="1" applyAlignment="1">
      <alignment horizontal="center" vertical="center"/>
    </xf>
    <xf numFmtId="44" fontId="9" fillId="5" borderId="32" xfId="0" applyNumberFormat="1" applyFont="1" applyFill="1" applyBorder="1" applyAlignment="1">
      <alignment horizontal="center" vertical="center"/>
    </xf>
    <xf numFmtId="44" fontId="9" fillId="5" borderId="33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44" fontId="9" fillId="5" borderId="19" xfId="0" applyNumberFormat="1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44" fontId="9" fillId="5" borderId="28" xfId="0" applyNumberFormat="1" applyFont="1" applyFill="1" applyBorder="1" applyAlignment="1">
      <alignment horizontal="center" vertical="center"/>
    </xf>
    <xf numFmtId="44" fontId="9" fillId="5" borderId="29" xfId="0" applyNumberFormat="1" applyFont="1" applyFill="1" applyBorder="1" applyAlignment="1">
      <alignment horizontal="center" vertical="center"/>
    </xf>
    <xf numFmtId="44" fontId="9" fillId="5" borderId="30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44" fontId="9" fillId="2" borderId="14" xfId="0" applyNumberFormat="1" applyFont="1" applyFill="1" applyBorder="1" applyAlignment="1">
      <alignment horizontal="center" vertical="center"/>
    </xf>
    <xf numFmtId="44" fontId="9" fillId="2" borderId="10" xfId="0" applyNumberFormat="1" applyFont="1" applyFill="1" applyBorder="1" applyAlignment="1">
      <alignment horizontal="center" vertical="center"/>
    </xf>
    <xf numFmtId="44" fontId="9" fillId="2" borderId="15" xfId="0" applyNumberFormat="1" applyFont="1" applyFill="1" applyBorder="1" applyAlignment="1">
      <alignment horizontal="center" vertical="center"/>
    </xf>
    <xf numFmtId="44" fontId="9" fillId="2" borderId="16" xfId="0" applyNumberFormat="1" applyFont="1" applyFill="1" applyBorder="1" applyAlignment="1">
      <alignment horizontal="center" vertical="center"/>
    </xf>
    <xf numFmtId="44" fontId="9" fillId="2" borderId="17" xfId="0" applyNumberFormat="1" applyFont="1" applyFill="1" applyBorder="1" applyAlignment="1">
      <alignment horizontal="center" vertical="center"/>
    </xf>
    <xf numFmtId="44" fontId="9" fillId="2" borderId="18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44" fontId="9" fillId="3" borderId="14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44" fontId="9" fillId="3" borderId="10" xfId="0" applyNumberFormat="1" applyFont="1" applyFill="1" applyBorder="1" applyAlignment="1">
      <alignment horizontal="center" vertical="center"/>
    </xf>
    <xf numFmtId="44" fontId="9" fillId="3" borderId="15" xfId="0" applyNumberFormat="1" applyFont="1" applyFill="1" applyBorder="1" applyAlignment="1">
      <alignment horizontal="center" vertical="center"/>
    </xf>
    <xf numFmtId="44" fontId="9" fillId="3" borderId="16" xfId="0" applyNumberFormat="1" applyFont="1" applyFill="1" applyBorder="1" applyAlignment="1">
      <alignment horizontal="center" vertical="center"/>
    </xf>
    <xf numFmtId="44" fontId="9" fillId="3" borderId="17" xfId="0" applyNumberFormat="1" applyFont="1" applyFill="1" applyBorder="1" applyAlignment="1">
      <alignment horizontal="center" vertical="center"/>
    </xf>
    <xf numFmtId="44" fontId="9" fillId="3" borderId="18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44" fontId="6" fillId="2" borderId="16" xfId="0" applyNumberFormat="1" applyFont="1" applyFill="1" applyBorder="1" applyAlignment="1">
      <alignment horizontal="center" vertical="center"/>
    </xf>
    <xf numFmtId="44" fontId="6" fillId="2" borderId="17" xfId="0" applyNumberFormat="1" applyFont="1" applyFill="1" applyBorder="1" applyAlignment="1">
      <alignment horizontal="center" vertical="center"/>
    </xf>
    <xf numFmtId="44" fontId="6" fillId="2" borderId="1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44" fontId="17" fillId="0" borderId="16" xfId="0" applyNumberFormat="1" applyFont="1" applyFill="1" applyBorder="1" applyAlignment="1">
      <alignment horizontal="center" vertical="center"/>
    </xf>
    <xf numFmtId="44" fontId="17" fillId="0" borderId="17" xfId="0" applyNumberFormat="1" applyFont="1" applyFill="1" applyBorder="1" applyAlignment="1">
      <alignment horizontal="center" vertical="center"/>
    </xf>
    <xf numFmtId="44" fontId="17" fillId="0" borderId="18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0" fillId="22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20" fillId="11" borderId="39" xfId="0" applyFont="1" applyFill="1" applyBorder="1" applyAlignment="1">
      <alignment horizontal="center"/>
    </xf>
    <xf numFmtId="4" fontId="20" fillId="26" borderId="41" xfId="0" applyNumberFormat="1" applyFont="1" applyFill="1" applyBorder="1" applyAlignment="1">
      <alignment horizontal="center" vertical="center"/>
    </xf>
    <xf numFmtId="4" fontId="20" fillId="26" borderId="43" xfId="0" applyNumberFormat="1" applyFont="1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0" fillId="4" borderId="20" xfId="0" applyFill="1" applyBorder="1" applyAlignment="1">
      <alignment horizontal="left" vertical="center"/>
    </xf>
    <xf numFmtId="0" fontId="0" fillId="4" borderId="29" xfId="0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  <xf numFmtId="0" fontId="0" fillId="17" borderId="20" xfId="0" applyFill="1" applyBorder="1" applyAlignment="1">
      <alignment horizontal="center" vertical="center"/>
    </xf>
    <xf numFmtId="0" fontId="0" fillId="17" borderId="23" xfId="0" applyFill="1" applyBorder="1" applyAlignment="1">
      <alignment horizontal="center" vertical="center"/>
    </xf>
    <xf numFmtId="0" fontId="28" fillId="12" borderId="37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0" fillId="16" borderId="0" xfId="0" applyFont="1" applyFill="1" applyAlignment="1">
      <alignment horizontal="center"/>
    </xf>
    <xf numFmtId="0" fontId="28" fillId="16" borderId="41" xfId="0" applyFont="1" applyFill="1" applyBorder="1" applyAlignment="1">
      <alignment horizontal="center"/>
    </xf>
    <xf numFmtId="0" fontId="28" fillId="16" borderId="42" xfId="0" applyFont="1" applyFill="1" applyBorder="1" applyAlignment="1">
      <alignment horizontal="center"/>
    </xf>
    <xf numFmtId="0" fontId="28" fillId="16" borderId="43" xfId="0" applyFont="1" applyFill="1" applyBorder="1" applyAlignment="1">
      <alignment horizontal="center"/>
    </xf>
    <xf numFmtId="0" fontId="20" fillId="16" borderId="39" xfId="0" applyFont="1" applyFill="1" applyBorder="1" applyAlignment="1">
      <alignment horizontal="center" vertical="center"/>
    </xf>
    <xf numFmtId="0" fontId="20" fillId="16" borderId="41" xfId="0" applyFont="1" applyFill="1" applyBorder="1" applyAlignment="1">
      <alignment horizontal="center" vertical="center"/>
    </xf>
    <xf numFmtId="0" fontId="20" fillId="16" borderId="42" xfId="0" applyFont="1" applyFill="1" applyBorder="1" applyAlignment="1">
      <alignment horizontal="center" vertical="center"/>
    </xf>
    <xf numFmtId="0" fontId="20" fillId="16" borderId="43" xfId="0" applyFont="1" applyFill="1" applyBorder="1" applyAlignment="1">
      <alignment horizontal="center" vertical="center"/>
    </xf>
    <xf numFmtId="0" fontId="20" fillId="6" borderId="34" xfId="0" applyFont="1" applyFill="1" applyBorder="1" applyAlignment="1">
      <alignment horizontal="center"/>
    </xf>
    <xf numFmtId="0" fontId="20" fillId="6" borderId="35" xfId="0" applyFont="1" applyFill="1" applyBorder="1" applyAlignment="1">
      <alignment horizontal="center"/>
    </xf>
    <xf numFmtId="0" fontId="20" fillId="6" borderId="36" xfId="0" applyFont="1" applyFill="1" applyBorder="1" applyAlignment="1">
      <alignment horizontal="center"/>
    </xf>
    <xf numFmtId="0" fontId="20" fillId="10" borderId="34" xfId="0" applyFont="1" applyFill="1" applyBorder="1" applyAlignment="1">
      <alignment horizontal="center"/>
    </xf>
    <xf numFmtId="0" fontId="20" fillId="10" borderId="36" xfId="0" applyFont="1" applyFill="1" applyBorder="1" applyAlignment="1">
      <alignment horizontal="center"/>
    </xf>
    <xf numFmtId="0" fontId="0" fillId="4" borderId="20" xfId="0" applyFill="1" applyBorder="1" applyAlignment="1">
      <alignment horizontal="right" vertical="center"/>
    </xf>
    <xf numFmtId="0" fontId="0" fillId="4" borderId="29" xfId="0" applyFill="1" applyBorder="1" applyAlignment="1">
      <alignment horizontal="right" vertical="center"/>
    </xf>
    <xf numFmtId="0" fontId="0" fillId="4" borderId="23" xfId="0" applyFill="1" applyBorder="1" applyAlignment="1">
      <alignment horizontal="right" vertical="center"/>
    </xf>
    <xf numFmtId="0" fontId="0" fillId="4" borderId="20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</cellXfs>
  <cellStyles count="3">
    <cellStyle name="Milliers" xfId="2" builtinId="3"/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5353"/>
      <color rgb="FFFFA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opLeftCell="E28" zoomScale="70" zoomScaleNormal="70" workbookViewId="0">
      <selection activeCell="M43" sqref="M43:Q43"/>
    </sheetView>
  </sheetViews>
  <sheetFormatPr baseColWidth="10" defaultRowHeight="15" x14ac:dyDescent="0.25"/>
  <cols>
    <col min="1" max="1" width="19.42578125" customWidth="1"/>
    <col min="2" max="2" width="19.85546875" customWidth="1"/>
    <col min="3" max="3" width="19.42578125" customWidth="1"/>
    <col min="4" max="4" width="19.85546875" customWidth="1"/>
    <col min="7" max="7" width="22.5703125" customWidth="1"/>
    <col min="8" max="8" width="20" customWidth="1"/>
    <col min="9" max="9" width="27.28515625" customWidth="1"/>
    <col min="11" max="11" width="21.7109375" customWidth="1"/>
    <col min="13" max="13" width="24.28515625" customWidth="1"/>
    <col min="14" max="14" width="21.7109375" customWidth="1"/>
    <col min="15" max="15" width="27.85546875" customWidth="1"/>
    <col min="16" max="16" width="16.85546875" customWidth="1"/>
    <col min="17" max="17" width="22.28515625" customWidth="1"/>
  </cols>
  <sheetData>
    <row r="1" spans="1:17" ht="26.25" x14ac:dyDescent="0.4">
      <c r="A1" s="328" t="s">
        <v>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</row>
    <row r="2" spans="1:17" ht="26.25" x14ac:dyDescent="0.4">
      <c r="A2" s="328" t="s">
        <v>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</row>
    <row r="3" spans="1:17" ht="33.75" x14ac:dyDescent="0.5">
      <c r="A3" s="329" t="s">
        <v>58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</row>
    <row r="4" spans="1:17" ht="33.75" x14ac:dyDescent="0.5">
      <c r="A4" s="329" t="s">
        <v>59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</row>
    <row r="6" spans="1:17" ht="38.25" customHeight="1" x14ac:dyDescent="0.25">
      <c r="A6" s="273" t="s">
        <v>38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M6" s="272" t="s">
        <v>37</v>
      </c>
      <c r="N6" s="272"/>
      <c r="O6" s="272"/>
      <c r="P6" s="272"/>
      <c r="Q6" s="272"/>
    </row>
    <row r="7" spans="1:17" ht="42.75" customHeight="1" x14ac:dyDescent="0.25">
      <c r="A7" s="274" t="s">
        <v>39</v>
      </c>
      <c r="B7" s="274"/>
      <c r="C7" s="274"/>
      <c r="D7" s="274"/>
      <c r="E7" s="274"/>
      <c r="F7" s="1"/>
      <c r="G7" s="275" t="s">
        <v>40</v>
      </c>
      <c r="H7" s="275"/>
      <c r="I7" s="275"/>
      <c r="J7" s="275"/>
      <c r="K7" s="275"/>
    </row>
    <row r="8" spans="1:17" ht="15.75" thickBot="1" x14ac:dyDescent="0.3"/>
    <row r="9" spans="1:17" ht="73.5" customHeight="1" thickBot="1" x14ac:dyDescent="0.3">
      <c r="A9" s="237" t="s">
        <v>8</v>
      </c>
      <c r="B9" s="238"/>
      <c r="C9" s="239"/>
      <c r="D9" s="243" t="s">
        <v>24</v>
      </c>
      <c r="E9" s="244"/>
      <c r="F9" s="3"/>
      <c r="G9" s="240" t="s">
        <v>27</v>
      </c>
      <c r="H9" s="241"/>
      <c r="I9" s="242"/>
      <c r="J9" s="240" t="s">
        <v>24</v>
      </c>
      <c r="K9" s="242"/>
      <c r="M9" s="281" t="s">
        <v>44</v>
      </c>
      <c r="N9" s="283"/>
      <c r="O9" s="282"/>
      <c r="P9" s="281" t="s">
        <v>24</v>
      </c>
      <c r="Q9" s="282"/>
    </row>
    <row r="10" spans="1:17" ht="21" x14ac:dyDescent="0.35">
      <c r="A10" s="45" t="s">
        <v>2</v>
      </c>
      <c r="B10" s="64">
        <v>10</v>
      </c>
      <c r="C10" s="47" t="s">
        <v>3</v>
      </c>
      <c r="D10" s="247" t="s">
        <v>20</v>
      </c>
      <c r="E10" s="248"/>
      <c r="F10" s="4"/>
      <c r="G10" s="28" t="s">
        <v>2</v>
      </c>
      <c r="H10" s="68">
        <f>B10</f>
        <v>10</v>
      </c>
      <c r="I10" s="30" t="s">
        <v>3</v>
      </c>
      <c r="J10" s="249" t="s">
        <v>20</v>
      </c>
      <c r="K10" s="250"/>
      <c r="M10" s="7" t="s">
        <v>2</v>
      </c>
      <c r="N10" s="22">
        <v>10</v>
      </c>
      <c r="O10" s="9" t="s">
        <v>3</v>
      </c>
      <c r="P10" s="261" t="s">
        <v>20</v>
      </c>
      <c r="Q10" s="262"/>
    </row>
    <row r="11" spans="1:17" ht="18.75" x14ac:dyDescent="0.25">
      <c r="A11" s="48"/>
      <c r="B11" s="49">
        <f>+B12+B13</f>
        <v>400</v>
      </c>
      <c r="C11" s="50" t="s">
        <v>5</v>
      </c>
      <c r="D11" s="245">
        <v>42675</v>
      </c>
      <c r="E11" s="246"/>
      <c r="F11" s="5"/>
      <c r="G11" s="31"/>
      <c r="H11" s="32">
        <f>+H12+H13</f>
        <v>400</v>
      </c>
      <c r="I11" s="33" t="s">
        <v>5</v>
      </c>
      <c r="J11" s="251">
        <f>D13+1</f>
        <v>42736</v>
      </c>
      <c r="K11" s="252"/>
      <c r="M11" s="10"/>
      <c r="N11" s="11">
        <f>+N12+N13</f>
        <v>1820.04</v>
      </c>
      <c r="O11" s="12" t="s">
        <v>5</v>
      </c>
      <c r="P11" s="259">
        <f>J11</f>
        <v>42736</v>
      </c>
      <c r="Q11" s="260"/>
    </row>
    <row r="12" spans="1:17" ht="15.75" x14ac:dyDescent="0.25">
      <c r="A12" s="48"/>
      <c r="B12" s="46">
        <v>200</v>
      </c>
      <c r="C12" s="47" t="s">
        <v>4</v>
      </c>
      <c r="D12" s="247" t="s">
        <v>21</v>
      </c>
      <c r="E12" s="248"/>
      <c r="F12" s="4"/>
      <c r="G12" s="31"/>
      <c r="H12" s="29">
        <v>250</v>
      </c>
      <c r="I12" s="30" t="s">
        <v>18</v>
      </c>
      <c r="J12" s="249" t="s">
        <v>21</v>
      </c>
      <c r="K12" s="250"/>
      <c r="M12" s="10"/>
      <c r="N12" s="8">
        <f>143.67*12</f>
        <v>1724.04</v>
      </c>
      <c r="O12" s="9" t="s">
        <v>46</v>
      </c>
      <c r="P12" s="261" t="s">
        <v>21</v>
      </c>
      <c r="Q12" s="262"/>
    </row>
    <row r="13" spans="1:17" ht="19.5" thickBot="1" x14ac:dyDescent="0.3">
      <c r="A13" s="48"/>
      <c r="B13" s="46">
        <v>200</v>
      </c>
      <c r="C13" s="47" t="s">
        <v>6</v>
      </c>
      <c r="D13" s="245">
        <v>42735</v>
      </c>
      <c r="E13" s="246"/>
      <c r="F13" s="5"/>
      <c r="G13" s="31"/>
      <c r="H13" s="29">
        <v>150</v>
      </c>
      <c r="I13" s="30" t="s">
        <v>19</v>
      </c>
      <c r="J13" s="251">
        <f>J11+364</f>
        <v>43100</v>
      </c>
      <c r="K13" s="252"/>
      <c r="M13" s="10"/>
      <c r="N13" s="8">
        <f>8*12</f>
        <v>96</v>
      </c>
      <c r="O13" s="9" t="s">
        <v>47</v>
      </c>
      <c r="P13" s="259">
        <f>J13</f>
        <v>43100</v>
      </c>
      <c r="Q13" s="260"/>
    </row>
    <row r="14" spans="1:17" ht="24" thickBot="1" x14ac:dyDescent="0.3">
      <c r="A14" s="51" t="s">
        <v>7</v>
      </c>
      <c r="B14" s="52">
        <f>B10*B11</f>
        <v>4000</v>
      </c>
      <c r="C14" s="53" t="s">
        <v>9</v>
      </c>
      <c r="D14" s="54">
        <v>3</v>
      </c>
      <c r="E14" s="55" t="s">
        <v>22</v>
      </c>
      <c r="F14" s="2"/>
      <c r="G14" s="34" t="s">
        <v>7</v>
      </c>
      <c r="H14" s="35">
        <f>H10*H11</f>
        <v>4000</v>
      </c>
      <c r="I14" s="36" t="s">
        <v>9</v>
      </c>
      <c r="J14" s="37">
        <v>12</v>
      </c>
      <c r="K14" s="38" t="s">
        <v>22</v>
      </c>
      <c r="M14" s="13" t="s">
        <v>45</v>
      </c>
      <c r="N14" s="14">
        <f>N10*N11</f>
        <v>18200.400000000001</v>
      </c>
      <c r="O14" s="15" t="s">
        <v>9</v>
      </c>
      <c r="P14" s="16">
        <v>12</v>
      </c>
      <c r="Q14" s="17" t="s">
        <v>22</v>
      </c>
    </row>
    <row r="15" spans="1:17" ht="51" customHeight="1" thickBot="1" x14ac:dyDescent="0.3">
      <c r="A15" s="51" t="s">
        <v>14</v>
      </c>
      <c r="B15" s="56">
        <f>+B14*8</f>
        <v>32000</v>
      </c>
      <c r="C15" s="53" t="s">
        <v>17</v>
      </c>
      <c r="D15" s="243" t="s">
        <v>23</v>
      </c>
      <c r="E15" s="244"/>
      <c r="F15" s="6"/>
      <c r="G15" s="40" t="s">
        <v>15</v>
      </c>
      <c r="H15" s="41">
        <f>H14*15</f>
        <v>60000</v>
      </c>
      <c r="I15" s="42" t="s">
        <v>17</v>
      </c>
      <c r="J15" s="240" t="s">
        <v>23</v>
      </c>
      <c r="K15" s="242"/>
      <c r="M15" s="13" t="s">
        <v>48</v>
      </c>
      <c r="N15" s="18">
        <f>+N14*9.67</f>
        <v>175997.86800000002</v>
      </c>
      <c r="O15" s="15" t="s">
        <v>17</v>
      </c>
      <c r="P15" s="276" t="s">
        <v>60</v>
      </c>
      <c r="Q15" s="277"/>
    </row>
    <row r="16" spans="1:17" ht="32.25" thickBot="1" x14ac:dyDescent="0.3">
      <c r="A16" s="51" t="s">
        <v>15</v>
      </c>
      <c r="B16" s="56">
        <f>B14*10</f>
        <v>40000</v>
      </c>
      <c r="C16" s="53" t="s">
        <v>17</v>
      </c>
      <c r="D16" s="60">
        <f>B11/D14</f>
        <v>133.33333333333334</v>
      </c>
      <c r="E16" s="61" t="s">
        <v>35</v>
      </c>
      <c r="F16" s="2"/>
      <c r="G16" s="34" t="s">
        <v>15</v>
      </c>
      <c r="H16" s="39">
        <f>H11*15</f>
        <v>6000</v>
      </c>
      <c r="I16" s="36" t="s">
        <v>25</v>
      </c>
      <c r="J16" s="43">
        <f>H11/J14</f>
        <v>33.333333333333336</v>
      </c>
      <c r="K16" s="44" t="s">
        <v>35</v>
      </c>
      <c r="M16" s="13" t="s">
        <v>49</v>
      </c>
      <c r="N16" s="18">
        <f>N10*300*6</f>
        <v>18000</v>
      </c>
      <c r="O16" s="15"/>
      <c r="P16" s="71" t="s">
        <v>50</v>
      </c>
      <c r="Q16" s="72">
        <f>+N17/12</f>
        <v>13166.489000000001</v>
      </c>
    </row>
    <row r="17" spans="1:17" ht="38.25" thickBot="1" x14ac:dyDescent="0.3">
      <c r="A17" s="57" t="s">
        <v>16</v>
      </c>
      <c r="B17" s="58">
        <f>SUM(B15:B16)</f>
        <v>72000</v>
      </c>
      <c r="C17" s="59" t="s">
        <v>17</v>
      </c>
      <c r="D17" s="62">
        <f>D16/4.33</f>
        <v>30.792917628945343</v>
      </c>
      <c r="E17" s="63" t="s">
        <v>36</v>
      </c>
      <c r="F17" s="2"/>
      <c r="G17" s="40" t="s">
        <v>26</v>
      </c>
      <c r="H17" s="41">
        <f>H10*J17*15*4.33</f>
        <v>5000</v>
      </c>
      <c r="I17" s="42" t="s">
        <v>17</v>
      </c>
      <c r="J17" s="69">
        <f>J16/4.33</f>
        <v>7.6982294072363358</v>
      </c>
      <c r="K17" s="70" t="s">
        <v>36</v>
      </c>
      <c r="M17" s="19" t="s">
        <v>16</v>
      </c>
      <c r="N17" s="20">
        <f>N15-N16</f>
        <v>157997.86800000002</v>
      </c>
      <c r="O17" s="21" t="s">
        <v>17</v>
      </c>
      <c r="P17" s="73" t="s">
        <v>51</v>
      </c>
      <c r="Q17" s="74">
        <f>+Q16/10</f>
        <v>1316.6489000000001</v>
      </c>
    </row>
    <row r="19" spans="1:17" ht="15.75" thickBot="1" x14ac:dyDescent="0.3"/>
    <row r="20" spans="1:17" ht="24" thickBot="1" x14ac:dyDescent="0.3">
      <c r="A20" s="237" t="s">
        <v>28</v>
      </c>
      <c r="B20" s="238"/>
      <c r="C20" s="239"/>
      <c r="D20" s="243" t="s">
        <v>24</v>
      </c>
      <c r="E20" s="244"/>
      <c r="F20" s="23"/>
      <c r="G20" s="240" t="s">
        <v>34</v>
      </c>
      <c r="H20" s="241"/>
      <c r="I20" s="242"/>
      <c r="J20" s="240" t="s">
        <v>24</v>
      </c>
      <c r="K20" s="242"/>
      <c r="M20" s="278" t="s">
        <v>52</v>
      </c>
      <c r="N20" s="279"/>
      <c r="O20" s="280"/>
      <c r="P20" s="281" t="s">
        <v>24</v>
      </c>
      <c r="Q20" s="282"/>
    </row>
    <row r="21" spans="1:17" ht="21" x14ac:dyDescent="0.35">
      <c r="A21" s="45" t="s">
        <v>2</v>
      </c>
      <c r="B21" s="46">
        <v>50</v>
      </c>
      <c r="C21" s="47" t="s">
        <v>10</v>
      </c>
      <c r="D21" s="247" t="s">
        <v>20</v>
      </c>
      <c r="E21" s="248"/>
      <c r="F21" s="24"/>
      <c r="G21" s="28" t="s">
        <v>2</v>
      </c>
      <c r="H21" s="68">
        <f>B21</f>
        <v>50</v>
      </c>
      <c r="I21" s="30" t="s">
        <v>10</v>
      </c>
      <c r="J21" s="249" t="s">
        <v>20</v>
      </c>
      <c r="K21" s="250"/>
      <c r="M21" s="7" t="s">
        <v>2</v>
      </c>
      <c r="N21" s="8">
        <v>50</v>
      </c>
      <c r="O21" s="9" t="s">
        <v>10</v>
      </c>
      <c r="P21" s="261" t="s">
        <v>20</v>
      </c>
      <c r="Q21" s="262"/>
    </row>
    <row r="22" spans="1:17" ht="18.75" x14ac:dyDescent="0.25">
      <c r="A22" s="48"/>
      <c r="B22" s="49">
        <f>+B23+B24</f>
        <v>4</v>
      </c>
      <c r="C22" s="50" t="s">
        <v>11</v>
      </c>
      <c r="D22" s="245">
        <f>+D11</f>
        <v>42675</v>
      </c>
      <c r="E22" s="246"/>
      <c r="F22" s="25"/>
      <c r="G22" s="31"/>
      <c r="H22" s="32">
        <f>+H23+H24</f>
        <v>400</v>
      </c>
      <c r="I22" s="33" t="s">
        <v>11</v>
      </c>
      <c r="J22" s="251">
        <f>+J11</f>
        <v>42736</v>
      </c>
      <c r="K22" s="252"/>
      <c r="M22" s="10"/>
      <c r="N22" s="11">
        <f>+N23+N24</f>
        <v>400</v>
      </c>
      <c r="O22" s="12" t="s">
        <v>11</v>
      </c>
      <c r="P22" s="259">
        <f>+P11</f>
        <v>42736</v>
      </c>
      <c r="Q22" s="260"/>
    </row>
    <row r="23" spans="1:17" ht="15.75" x14ac:dyDescent="0.25">
      <c r="A23" s="48"/>
      <c r="B23" s="46">
        <v>4</v>
      </c>
      <c r="C23" s="47" t="s">
        <v>29</v>
      </c>
      <c r="D23" s="247" t="s">
        <v>21</v>
      </c>
      <c r="E23" s="248"/>
      <c r="F23" s="24"/>
      <c r="G23" s="31"/>
      <c r="H23" s="29">
        <v>250</v>
      </c>
      <c r="I23" s="30" t="s">
        <v>12</v>
      </c>
      <c r="J23" s="249" t="s">
        <v>21</v>
      </c>
      <c r="K23" s="250"/>
      <c r="M23" s="10"/>
      <c r="N23" s="8">
        <v>250</v>
      </c>
      <c r="O23" s="9" t="s">
        <v>12</v>
      </c>
      <c r="P23" s="261" t="s">
        <v>21</v>
      </c>
      <c r="Q23" s="262"/>
    </row>
    <row r="24" spans="1:17" ht="19.5" thickBot="1" x14ac:dyDescent="0.3">
      <c r="A24" s="48"/>
      <c r="B24" s="46"/>
      <c r="C24" s="47"/>
      <c r="D24" s="245">
        <f>+D13</f>
        <v>42735</v>
      </c>
      <c r="E24" s="246"/>
      <c r="F24" s="25"/>
      <c r="G24" s="31"/>
      <c r="H24" s="29">
        <v>150</v>
      </c>
      <c r="I24" s="30" t="s">
        <v>13</v>
      </c>
      <c r="J24" s="251">
        <f>J22+364</f>
        <v>43100</v>
      </c>
      <c r="K24" s="252"/>
      <c r="M24" s="10"/>
      <c r="N24" s="8">
        <v>150</v>
      </c>
      <c r="O24" s="9" t="s">
        <v>53</v>
      </c>
      <c r="P24" s="259">
        <f>+P13</f>
        <v>43100</v>
      </c>
      <c r="Q24" s="260"/>
    </row>
    <row r="25" spans="1:17" ht="32.25" thickBot="1" x14ac:dyDescent="0.3">
      <c r="A25" s="51" t="s">
        <v>31</v>
      </c>
      <c r="B25" s="52">
        <f>B21*B22</f>
        <v>200</v>
      </c>
      <c r="C25" s="53" t="s">
        <v>17</v>
      </c>
      <c r="D25" s="54">
        <f>+D14</f>
        <v>3</v>
      </c>
      <c r="E25" s="55" t="s">
        <v>22</v>
      </c>
      <c r="F25" s="26"/>
      <c r="G25" s="34" t="s">
        <v>7</v>
      </c>
      <c r="H25" s="35">
        <f>H21*H22</f>
        <v>20000</v>
      </c>
      <c r="I25" s="36" t="s">
        <v>9</v>
      </c>
      <c r="J25" s="37">
        <v>12</v>
      </c>
      <c r="K25" s="38" t="s">
        <v>22</v>
      </c>
      <c r="M25" s="13" t="s">
        <v>61</v>
      </c>
      <c r="N25" s="14">
        <f>N21*N22</f>
        <v>20000</v>
      </c>
      <c r="O25" s="15" t="s">
        <v>17</v>
      </c>
      <c r="P25" s="16">
        <f>+P14</f>
        <v>12</v>
      </c>
      <c r="Q25" s="17" t="s">
        <v>22</v>
      </c>
    </row>
    <row r="26" spans="1:17" ht="48" thickBot="1" x14ac:dyDescent="0.3">
      <c r="A26" s="51" t="s">
        <v>30</v>
      </c>
      <c r="B26" s="65">
        <f>B21/8</f>
        <v>6.25</v>
      </c>
      <c r="C26" s="53"/>
      <c r="D26" s="253" t="s">
        <v>33</v>
      </c>
      <c r="E26" s="254"/>
      <c r="F26" s="27"/>
      <c r="G26" s="40" t="s">
        <v>15</v>
      </c>
      <c r="H26" s="41">
        <f>H25*25</f>
        <v>500000</v>
      </c>
      <c r="I26" s="42" t="s">
        <v>17</v>
      </c>
      <c r="J26" s="240" t="s">
        <v>23</v>
      </c>
      <c r="K26" s="242"/>
      <c r="M26" s="13" t="s">
        <v>54</v>
      </c>
      <c r="N26" s="67">
        <f>(9.67*0.3)+9.67</f>
        <v>12.571</v>
      </c>
      <c r="O26" s="15"/>
      <c r="P26" s="266" t="s">
        <v>33</v>
      </c>
      <c r="Q26" s="267"/>
    </row>
    <row r="27" spans="1:17" ht="38.25" thickBot="1" x14ac:dyDescent="0.3">
      <c r="A27" s="57" t="s">
        <v>32</v>
      </c>
      <c r="B27" s="58">
        <f>B28/B21</f>
        <v>140</v>
      </c>
      <c r="C27" s="59"/>
      <c r="D27" s="255"/>
      <c r="E27" s="256"/>
      <c r="F27" s="26"/>
      <c r="G27" s="34" t="s">
        <v>15</v>
      </c>
      <c r="H27" s="39">
        <f>H22*25</f>
        <v>10000</v>
      </c>
      <c r="I27" s="36" t="s">
        <v>25</v>
      </c>
      <c r="J27" s="43">
        <f>H22/J25</f>
        <v>33.333333333333336</v>
      </c>
      <c r="K27" s="44" t="s">
        <v>35</v>
      </c>
      <c r="M27" s="19" t="s">
        <v>32</v>
      </c>
      <c r="N27" s="20">
        <f>N22*N26</f>
        <v>5028.3999999999996</v>
      </c>
      <c r="O27" s="21"/>
      <c r="P27" s="268"/>
      <c r="Q27" s="269"/>
    </row>
    <row r="28" spans="1:17" ht="38.25" thickBot="1" x14ac:dyDescent="0.3">
      <c r="A28" s="57" t="s">
        <v>16</v>
      </c>
      <c r="B28" s="58">
        <f>B26*1120</f>
        <v>7000</v>
      </c>
      <c r="C28" s="59" t="s">
        <v>17</v>
      </c>
      <c r="D28" s="257"/>
      <c r="E28" s="258"/>
      <c r="F28" s="26"/>
      <c r="G28" s="40" t="s">
        <v>26</v>
      </c>
      <c r="H28" s="41">
        <f>H21*J28*25*4.33</f>
        <v>41666.666666666664</v>
      </c>
      <c r="I28" s="42" t="s">
        <v>17</v>
      </c>
      <c r="J28" s="69">
        <f>J27/4.33</f>
        <v>7.6982294072363358</v>
      </c>
      <c r="K28" s="70" t="s">
        <v>36</v>
      </c>
      <c r="M28" s="19" t="s">
        <v>16</v>
      </c>
      <c r="N28" s="20">
        <f>N27*50</f>
        <v>251419.99999999997</v>
      </c>
      <c r="O28" s="21" t="s">
        <v>17</v>
      </c>
      <c r="P28" s="270"/>
      <c r="Q28" s="271"/>
    </row>
    <row r="29" spans="1:17" ht="15.75" thickBot="1" x14ac:dyDescent="0.3">
      <c r="H29" s="66"/>
    </row>
    <row r="30" spans="1:17" ht="30.75" customHeight="1" x14ac:dyDescent="0.25">
      <c r="A30" s="284" t="s">
        <v>41</v>
      </c>
      <c r="B30" s="285"/>
      <c r="C30" s="285"/>
      <c r="D30" s="285"/>
      <c r="E30" s="286"/>
      <c r="G30" s="305" t="s">
        <v>41</v>
      </c>
      <c r="H30" s="306"/>
      <c r="I30" s="306"/>
      <c r="J30" s="306"/>
      <c r="K30" s="307"/>
      <c r="M30" s="319" t="s">
        <v>41</v>
      </c>
      <c r="N30" s="320"/>
      <c r="O30" s="320"/>
      <c r="P30" s="320"/>
      <c r="Q30" s="321"/>
    </row>
    <row r="31" spans="1:17" ht="35.25" customHeight="1" thickBot="1" x14ac:dyDescent="0.3">
      <c r="A31" s="287">
        <f>+B15</f>
        <v>32000</v>
      </c>
      <c r="B31" s="288"/>
      <c r="C31" s="288"/>
      <c r="D31" s="288"/>
      <c r="E31" s="289"/>
      <c r="G31" s="308">
        <v>0</v>
      </c>
      <c r="H31" s="309"/>
      <c r="I31" s="309"/>
      <c r="J31" s="309"/>
      <c r="K31" s="310"/>
      <c r="M31" s="299">
        <v>0</v>
      </c>
      <c r="N31" s="338"/>
      <c r="O31" s="338"/>
      <c r="P31" s="338"/>
      <c r="Q31" s="339"/>
    </row>
    <row r="32" spans="1:17" ht="27.75" customHeight="1" thickBot="1" x14ac:dyDescent="0.3">
      <c r="A32" s="290" t="s">
        <v>42</v>
      </c>
      <c r="B32" s="291"/>
      <c r="C32" s="291"/>
      <c r="D32" s="291"/>
      <c r="E32" s="292"/>
      <c r="G32" s="311" t="s">
        <v>42</v>
      </c>
      <c r="H32" s="312"/>
      <c r="I32" s="312"/>
      <c r="J32" s="312"/>
      <c r="K32" s="313"/>
      <c r="M32" s="296" t="s">
        <v>42</v>
      </c>
      <c r="N32" s="297"/>
      <c r="O32" s="297"/>
      <c r="P32" s="297"/>
      <c r="Q32" s="298"/>
    </row>
    <row r="33" spans="1:17" ht="42" customHeight="1" thickBot="1" x14ac:dyDescent="0.3">
      <c r="A33" s="293">
        <f>+B28+B16</f>
        <v>47000</v>
      </c>
      <c r="B33" s="294"/>
      <c r="C33" s="294"/>
      <c r="D33" s="294"/>
      <c r="E33" s="295"/>
      <c r="G33" s="308">
        <f>+H26+H15</f>
        <v>560000</v>
      </c>
      <c r="H33" s="314"/>
      <c r="I33" s="314"/>
      <c r="J33" s="314"/>
      <c r="K33" s="315"/>
      <c r="M33" s="299">
        <f>N28</f>
        <v>251419.99999999997</v>
      </c>
      <c r="N33" s="300"/>
      <c r="O33" s="300"/>
      <c r="P33" s="300"/>
      <c r="Q33" s="301"/>
    </row>
    <row r="34" spans="1:17" ht="30.75" customHeight="1" thickBot="1" x14ac:dyDescent="0.3">
      <c r="A34" s="290" t="s">
        <v>43</v>
      </c>
      <c r="B34" s="291"/>
      <c r="C34" s="291"/>
      <c r="D34" s="291"/>
      <c r="E34" s="292"/>
      <c r="G34" s="311" t="s">
        <v>43</v>
      </c>
      <c r="H34" s="312"/>
      <c r="I34" s="312"/>
      <c r="J34" s="312"/>
      <c r="K34" s="313"/>
      <c r="M34" s="296" t="s">
        <v>55</v>
      </c>
      <c r="N34" s="297"/>
      <c r="O34" s="297"/>
      <c r="P34" s="297"/>
      <c r="Q34" s="298"/>
    </row>
    <row r="35" spans="1:17" ht="36.75" customHeight="1" thickBot="1" x14ac:dyDescent="0.3">
      <c r="A35" s="263">
        <v>0</v>
      </c>
      <c r="B35" s="264"/>
      <c r="C35" s="264"/>
      <c r="D35" s="264"/>
      <c r="E35" s="265"/>
      <c r="G35" s="316">
        <v>0</v>
      </c>
      <c r="H35" s="317"/>
      <c r="I35" s="317"/>
      <c r="J35" s="317"/>
      <c r="K35" s="318"/>
      <c r="M35" s="302">
        <f>N17</f>
        <v>157997.86800000002</v>
      </c>
      <c r="N35" s="303"/>
      <c r="O35" s="303"/>
      <c r="P35" s="303"/>
      <c r="Q35" s="304"/>
    </row>
    <row r="36" spans="1:17" ht="53.25" customHeight="1" x14ac:dyDescent="0.25">
      <c r="M36" s="330" t="s">
        <v>56</v>
      </c>
      <c r="N36" s="331"/>
      <c r="O36" s="331"/>
      <c r="P36" s="331"/>
      <c r="Q36" s="332"/>
    </row>
    <row r="37" spans="1:17" ht="24" thickBot="1" x14ac:dyDescent="0.3">
      <c r="M37" s="333">
        <f>+M33-M35</f>
        <v>93422.131999999954</v>
      </c>
      <c r="N37" s="334"/>
      <c r="O37" s="334"/>
      <c r="P37" s="334"/>
      <c r="Q37" s="335"/>
    </row>
    <row r="39" spans="1:17" ht="15.75" thickBot="1" x14ac:dyDescent="0.3"/>
    <row r="40" spans="1:17" ht="23.25" x14ac:dyDescent="0.25">
      <c r="M40" s="319" t="s">
        <v>41</v>
      </c>
      <c r="N40" s="320"/>
      <c r="O40" s="320"/>
      <c r="P40" s="320"/>
      <c r="Q40" s="321"/>
    </row>
    <row r="41" spans="1:17" ht="24" thickBot="1" x14ac:dyDescent="0.3">
      <c r="M41" s="302">
        <f>+M31+G31+A31</f>
        <v>32000</v>
      </c>
      <c r="N41" s="336"/>
      <c r="O41" s="336"/>
      <c r="P41" s="336"/>
      <c r="Q41" s="337"/>
    </row>
    <row r="42" spans="1:17" ht="23.25" x14ac:dyDescent="0.25">
      <c r="M42" s="319" t="s">
        <v>42</v>
      </c>
      <c r="N42" s="320"/>
      <c r="O42" s="320"/>
      <c r="P42" s="320"/>
      <c r="Q42" s="321"/>
    </row>
    <row r="43" spans="1:17" ht="24" thickBot="1" x14ac:dyDescent="0.3">
      <c r="M43" s="302">
        <f>+M33+G33+A33</f>
        <v>858420</v>
      </c>
      <c r="N43" s="303"/>
      <c r="O43" s="303"/>
      <c r="P43" s="303"/>
      <c r="Q43" s="304"/>
    </row>
    <row r="44" spans="1:17" ht="23.25" x14ac:dyDescent="0.25">
      <c r="M44" s="319" t="s">
        <v>43</v>
      </c>
      <c r="N44" s="320"/>
      <c r="O44" s="320"/>
      <c r="P44" s="320"/>
      <c r="Q44" s="321"/>
    </row>
    <row r="45" spans="1:17" ht="24" thickBot="1" x14ac:dyDescent="0.3">
      <c r="M45" s="302">
        <v>0</v>
      </c>
      <c r="N45" s="303"/>
      <c r="O45" s="303"/>
      <c r="P45" s="303"/>
      <c r="Q45" s="304"/>
    </row>
    <row r="46" spans="1:17" ht="23.25" x14ac:dyDescent="0.25">
      <c r="M46" s="322" t="s">
        <v>57</v>
      </c>
      <c r="N46" s="323"/>
      <c r="O46" s="323"/>
      <c r="P46" s="323"/>
      <c r="Q46" s="324"/>
    </row>
    <row r="47" spans="1:17" ht="24" thickBot="1" x14ac:dyDescent="0.3">
      <c r="M47" s="325">
        <f>+M41+M43</f>
        <v>890420</v>
      </c>
      <c r="N47" s="326"/>
      <c r="O47" s="326"/>
      <c r="P47" s="326"/>
      <c r="Q47" s="327"/>
    </row>
  </sheetData>
  <mergeCells count="78">
    <mergeCell ref="M44:Q44"/>
    <mergeCell ref="M45:Q45"/>
    <mergeCell ref="M46:Q46"/>
    <mergeCell ref="M47:Q47"/>
    <mergeCell ref="A1:Q1"/>
    <mergeCell ref="A2:Q2"/>
    <mergeCell ref="A3:Q3"/>
    <mergeCell ref="A4:Q4"/>
    <mergeCell ref="M36:Q36"/>
    <mergeCell ref="M37:Q37"/>
    <mergeCell ref="M40:Q40"/>
    <mergeCell ref="M41:Q41"/>
    <mergeCell ref="M42:Q42"/>
    <mergeCell ref="M43:Q43"/>
    <mergeCell ref="M30:Q30"/>
    <mergeCell ref="M31:Q31"/>
    <mergeCell ref="M32:Q32"/>
    <mergeCell ref="M33:Q33"/>
    <mergeCell ref="M34:Q34"/>
    <mergeCell ref="M35:Q35"/>
    <mergeCell ref="G30:K30"/>
    <mergeCell ref="G31:K31"/>
    <mergeCell ref="G32:K32"/>
    <mergeCell ref="G33:K33"/>
    <mergeCell ref="G34:K34"/>
    <mergeCell ref="G35:K35"/>
    <mergeCell ref="A30:E30"/>
    <mergeCell ref="A31:E31"/>
    <mergeCell ref="A32:E32"/>
    <mergeCell ref="A33:E33"/>
    <mergeCell ref="A34:E34"/>
    <mergeCell ref="A35:E35"/>
    <mergeCell ref="P24:Q24"/>
    <mergeCell ref="P26:Q28"/>
    <mergeCell ref="M6:Q6"/>
    <mergeCell ref="A6:K6"/>
    <mergeCell ref="A7:E7"/>
    <mergeCell ref="G7:K7"/>
    <mergeCell ref="P15:Q15"/>
    <mergeCell ref="M20:O20"/>
    <mergeCell ref="P20:Q20"/>
    <mergeCell ref="P21:Q21"/>
    <mergeCell ref="P22:Q22"/>
    <mergeCell ref="P23:Q23"/>
    <mergeCell ref="M9:O9"/>
    <mergeCell ref="P9:Q9"/>
    <mergeCell ref="P10:Q10"/>
    <mergeCell ref="P11:Q11"/>
    <mergeCell ref="P12:Q12"/>
    <mergeCell ref="P13:Q13"/>
    <mergeCell ref="D23:E23"/>
    <mergeCell ref="J23:K23"/>
    <mergeCell ref="J15:K15"/>
    <mergeCell ref="D24:E24"/>
    <mergeCell ref="J24:K24"/>
    <mergeCell ref="J26:K26"/>
    <mergeCell ref="D26:E28"/>
    <mergeCell ref="G20:I20"/>
    <mergeCell ref="J20:K20"/>
    <mergeCell ref="D21:E21"/>
    <mergeCell ref="J21:K21"/>
    <mergeCell ref="D22:E22"/>
    <mergeCell ref="J22:K22"/>
    <mergeCell ref="J9:K9"/>
    <mergeCell ref="J10:K10"/>
    <mergeCell ref="J11:K11"/>
    <mergeCell ref="J12:K12"/>
    <mergeCell ref="J13:K13"/>
    <mergeCell ref="A9:C9"/>
    <mergeCell ref="A20:C20"/>
    <mergeCell ref="G9:I9"/>
    <mergeCell ref="D15:E15"/>
    <mergeCell ref="D11:E11"/>
    <mergeCell ref="D13:E13"/>
    <mergeCell ref="D10:E10"/>
    <mergeCell ref="D12:E12"/>
    <mergeCell ref="D9:E9"/>
    <mergeCell ref="D20:E20"/>
  </mergeCells>
  <printOptions horizontalCentered="1" verticalCentered="1"/>
  <pageMargins left="0" right="0" top="0" bottom="0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47"/>
  <sheetViews>
    <sheetView tabSelected="1" topLeftCell="A54" zoomScale="120" zoomScaleNormal="120" workbookViewId="0">
      <selection activeCell="D57" sqref="D57"/>
    </sheetView>
  </sheetViews>
  <sheetFormatPr baseColWidth="10" defaultRowHeight="15" x14ac:dyDescent="0.25"/>
  <cols>
    <col min="1" max="1" width="80.42578125" customWidth="1"/>
    <col min="2" max="2" width="33.140625" customWidth="1"/>
    <col min="3" max="3" width="27.28515625" customWidth="1"/>
    <col min="4" max="4" width="29.85546875" customWidth="1"/>
    <col min="5" max="5" width="23.28515625" customWidth="1"/>
    <col min="6" max="6" width="36.140625" customWidth="1"/>
    <col min="7" max="7" width="11" customWidth="1"/>
    <col min="8" max="8" width="37.28515625" customWidth="1"/>
    <col min="9" max="9" width="29" customWidth="1"/>
  </cols>
  <sheetData>
    <row r="2" spans="1:9" x14ac:dyDescent="0.25">
      <c r="A2" s="93" t="s">
        <v>81</v>
      </c>
      <c r="B2" s="169" t="s">
        <v>62</v>
      </c>
      <c r="C2" s="173" t="s">
        <v>82</v>
      </c>
      <c r="D2" s="170" t="s">
        <v>83</v>
      </c>
    </row>
    <row r="4" spans="1:9" x14ac:dyDescent="0.25">
      <c r="B4" s="365" t="s">
        <v>63</v>
      </c>
      <c r="C4" s="366"/>
      <c r="D4" s="367"/>
      <c r="E4" s="109"/>
    </row>
    <row r="5" spans="1:9" x14ac:dyDescent="0.25">
      <c r="B5" s="85">
        <v>1820</v>
      </c>
      <c r="C5" s="86" t="s">
        <v>68</v>
      </c>
      <c r="D5" s="82"/>
      <c r="E5" s="80"/>
      <c r="F5" s="368" t="s">
        <v>71</v>
      </c>
      <c r="G5" s="369"/>
      <c r="H5" s="92" t="s">
        <v>73</v>
      </c>
      <c r="I5" s="91" t="s">
        <v>75</v>
      </c>
    </row>
    <row r="6" spans="1:9" x14ac:dyDescent="0.25">
      <c r="A6" s="89" t="s">
        <v>65</v>
      </c>
      <c r="B6" s="87">
        <v>150</v>
      </c>
      <c r="C6" s="88" t="s">
        <v>66</v>
      </c>
      <c r="D6" s="83"/>
      <c r="E6" s="83"/>
      <c r="F6" s="158">
        <v>20</v>
      </c>
      <c r="G6" s="90" t="s">
        <v>72</v>
      </c>
      <c r="H6" s="90" t="s">
        <v>74</v>
      </c>
      <c r="I6" s="90" t="s">
        <v>80</v>
      </c>
    </row>
    <row r="7" spans="1:9" x14ac:dyDescent="0.25">
      <c r="A7" s="83" t="s">
        <v>65</v>
      </c>
      <c r="B7" s="76">
        <v>0.2</v>
      </c>
      <c r="C7" s="75" t="s">
        <v>69</v>
      </c>
      <c r="D7" s="83">
        <f>SUM(6*1820/12*20%)</f>
        <v>182</v>
      </c>
      <c r="E7" s="83" t="s">
        <v>64</v>
      </c>
      <c r="F7" s="135">
        <v>15</v>
      </c>
      <c r="G7" s="90" t="s">
        <v>72</v>
      </c>
      <c r="H7" s="90" t="s">
        <v>76</v>
      </c>
      <c r="I7" s="90" t="s">
        <v>77</v>
      </c>
    </row>
    <row r="8" spans="1:9" x14ac:dyDescent="0.25">
      <c r="A8" s="84" t="s">
        <v>67</v>
      </c>
      <c r="B8" s="77">
        <v>0.4</v>
      </c>
      <c r="C8" s="78" t="s">
        <v>70</v>
      </c>
      <c r="D8" s="84">
        <f>SUM(24*B5/12*40%)</f>
        <v>1456</v>
      </c>
      <c r="E8" s="84" t="s">
        <v>64</v>
      </c>
      <c r="F8" s="135">
        <v>10</v>
      </c>
      <c r="G8" s="90" t="s">
        <v>72</v>
      </c>
      <c r="H8" s="90" t="s">
        <v>78</v>
      </c>
      <c r="I8" s="90" t="s">
        <v>79</v>
      </c>
    </row>
    <row r="9" spans="1:9" x14ac:dyDescent="0.25">
      <c r="F9" s="183" t="s">
        <v>166</v>
      </c>
    </row>
    <row r="10" spans="1:9" ht="18.75" x14ac:dyDescent="0.3">
      <c r="A10" s="93" t="s">
        <v>102</v>
      </c>
      <c r="B10">
        <v>0</v>
      </c>
      <c r="E10">
        <v>1820</v>
      </c>
      <c r="F10" s="229">
        <v>20</v>
      </c>
    </row>
    <row r="11" spans="1:9" x14ac:dyDescent="0.25">
      <c r="E11">
        <v>12</v>
      </c>
    </row>
    <row r="12" spans="1:9" x14ac:dyDescent="0.25">
      <c r="E12" s="121">
        <f>SUM(E10/E11)</f>
        <v>151.66666666666666</v>
      </c>
    </row>
    <row r="13" spans="1:9" x14ac:dyDescent="0.25">
      <c r="C13" s="171" t="s">
        <v>71</v>
      </c>
      <c r="D13" s="172" t="s">
        <v>84</v>
      </c>
    </row>
    <row r="15" spans="1:9" x14ac:dyDescent="0.25">
      <c r="C15" s="368" t="s">
        <v>71</v>
      </c>
      <c r="D15" s="369"/>
      <c r="E15" s="110"/>
      <c r="F15" s="91" t="s">
        <v>75</v>
      </c>
      <c r="G15" s="344" t="s">
        <v>87</v>
      </c>
      <c r="H15" s="344"/>
    </row>
    <row r="16" spans="1:9" ht="44.25" customHeight="1" x14ac:dyDescent="0.25">
      <c r="B16" s="96" t="s">
        <v>85</v>
      </c>
      <c r="C16" s="145">
        <v>15</v>
      </c>
      <c r="D16" s="99" t="s">
        <v>72</v>
      </c>
      <c r="E16" s="99"/>
      <c r="F16" s="97" t="s">
        <v>86</v>
      </c>
      <c r="G16" s="98">
        <v>40</v>
      </c>
      <c r="H16" s="99" t="s">
        <v>64</v>
      </c>
    </row>
    <row r="17" spans="1:10" ht="28.5" customHeight="1" x14ac:dyDescent="0.25">
      <c r="B17" s="373" t="s">
        <v>88</v>
      </c>
      <c r="C17" s="95">
        <v>230</v>
      </c>
      <c r="D17" s="95" t="s">
        <v>89</v>
      </c>
      <c r="E17" s="95"/>
      <c r="F17" s="95" t="s">
        <v>90</v>
      </c>
      <c r="G17" s="373">
        <v>6</v>
      </c>
      <c r="H17" s="350" t="s">
        <v>95</v>
      </c>
    </row>
    <row r="18" spans="1:10" x14ac:dyDescent="0.25">
      <c r="B18" s="374"/>
      <c r="C18" s="370">
        <v>345</v>
      </c>
      <c r="D18" s="350" t="s">
        <v>91</v>
      </c>
      <c r="E18" s="111"/>
      <c r="F18" s="95" t="s">
        <v>92</v>
      </c>
      <c r="G18" s="374"/>
      <c r="H18" s="351"/>
    </row>
    <row r="19" spans="1:10" x14ac:dyDescent="0.25">
      <c r="B19" s="374"/>
      <c r="C19" s="371"/>
      <c r="D19" s="351"/>
      <c r="E19" s="112"/>
      <c r="F19" s="95" t="s">
        <v>93</v>
      </c>
      <c r="G19" s="374"/>
      <c r="H19" s="351"/>
    </row>
    <row r="20" spans="1:10" x14ac:dyDescent="0.25">
      <c r="B20" s="375"/>
      <c r="C20" s="372"/>
      <c r="D20" s="352"/>
      <c r="E20" s="113"/>
      <c r="F20" s="95" t="s">
        <v>94</v>
      </c>
      <c r="G20" s="375"/>
      <c r="H20" s="352"/>
    </row>
    <row r="22" spans="1:10" x14ac:dyDescent="0.25">
      <c r="B22" s="174" t="s">
        <v>96</v>
      </c>
      <c r="C22" s="174"/>
      <c r="D22" s="174">
        <v>85</v>
      </c>
      <c r="E22" s="174" t="s">
        <v>97</v>
      </c>
      <c r="G22" s="174"/>
      <c r="H22" s="174"/>
    </row>
    <row r="23" spans="1:10" x14ac:dyDescent="0.25">
      <c r="B23" s="174"/>
      <c r="C23" s="174" t="s">
        <v>99</v>
      </c>
      <c r="D23" s="174">
        <v>2500</v>
      </c>
      <c r="E23" s="175" t="s">
        <v>98</v>
      </c>
      <c r="G23" s="174"/>
      <c r="H23" s="174"/>
    </row>
    <row r="26" spans="1:10" x14ac:dyDescent="0.25">
      <c r="A26" s="119" t="s">
        <v>100</v>
      </c>
      <c r="B26" s="166" t="s">
        <v>139</v>
      </c>
      <c r="C26" s="167" t="s">
        <v>117</v>
      </c>
      <c r="D26" s="167"/>
      <c r="E26" s="168" t="s">
        <v>101</v>
      </c>
    </row>
    <row r="28" spans="1:10" ht="48" customHeight="1" x14ac:dyDescent="0.25">
      <c r="A28" s="102" t="s">
        <v>103</v>
      </c>
      <c r="B28" s="103" t="s">
        <v>105</v>
      </c>
      <c r="C28" s="103" t="s">
        <v>106</v>
      </c>
      <c r="D28" s="103" t="s">
        <v>107</v>
      </c>
      <c r="E28" s="103" t="s">
        <v>113</v>
      </c>
      <c r="F28" s="103" t="s">
        <v>115</v>
      </c>
      <c r="G28" s="108" t="s">
        <v>112</v>
      </c>
      <c r="H28" s="108" t="s">
        <v>110</v>
      </c>
      <c r="I28" s="108" t="s">
        <v>111</v>
      </c>
      <c r="J28" s="104" t="s">
        <v>151</v>
      </c>
    </row>
    <row r="29" spans="1:10" ht="25.5" customHeight="1" x14ac:dyDescent="0.25">
      <c r="A29" s="105" t="s">
        <v>104</v>
      </c>
      <c r="B29" s="106">
        <v>100</v>
      </c>
      <c r="C29" s="106" t="s">
        <v>108</v>
      </c>
      <c r="D29" s="106">
        <v>100</v>
      </c>
      <c r="E29" s="106" t="s">
        <v>114</v>
      </c>
      <c r="F29" s="106">
        <v>24</v>
      </c>
      <c r="G29" s="107">
        <v>9.67</v>
      </c>
      <c r="H29" s="107">
        <v>151.66999999999999</v>
      </c>
      <c r="I29" s="107">
        <f>SUM(1820 *40%)</f>
        <v>728</v>
      </c>
      <c r="J29" s="163">
        <f>SUM(H29*G29*0.4)</f>
        <v>586.65955999999994</v>
      </c>
    </row>
    <row r="30" spans="1:10" x14ac:dyDescent="0.25">
      <c r="J30">
        <f>SUM(G29*H29)</f>
        <v>1466.6488999999999</v>
      </c>
    </row>
    <row r="31" spans="1:10" ht="26.25" customHeight="1" x14ac:dyDescent="0.25">
      <c r="A31" s="219" t="s">
        <v>109</v>
      </c>
      <c r="B31" s="230">
        <v>10</v>
      </c>
      <c r="C31" s="185" t="s">
        <v>165</v>
      </c>
      <c r="D31" s="126" t="s">
        <v>109</v>
      </c>
      <c r="E31" s="101">
        <v>10</v>
      </c>
      <c r="J31">
        <v>0.4</v>
      </c>
    </row>
    <row r="32" spans="1:10" x14ac:dyDescent="0.25">
      <c r="D32" s="123"/>
      <c r="J32">
        <f>SUM(J30*J31)</f>
        <v>586.65955999999994</v>
      </c>
    </row>
    <row r="33" spans="1:6" x14ac:dyDescent="0.25">
      <c r="D33" s="123"/>
    </row>
    <row r="34" spans="1:6" ht="46.5" customHeight="1" x14ac:dyDescent="0.25">
      <c r="A34" s="114" t="s">
        <v>150</v>
      </c>
      <c r="B34" s="116">
        <f>SUM(H29*G29*1.4)</f>
        <v>2053.3084599999997</v>
      </c>
      <c r="C34" s="218"/>
      <c r="D34" s="126" t="s">
        <v>119</v>
      </c>
      <c r="E34" s="116">
        <v>0</v>
      </c>
    </row>
    <row r="35" spans="1:6" x14ac:dyDescent="0.25">
      <c r="B35" s="115"/>
      <c r="D35" s="123"/>
      <c r="E35" s="115"/>
    </row>
    <row r="36" spans="1:6" ht="48" customHeight="1" x14ac:dyDescent="0.25">
      <c r="A36" s="114" t="s">
        <v>116</v>
      </c>
      <c r="B36" s="116">
        <f>SUM(B31*B34)</f>
        <v>20533.084599999998</v>
      </c>
      <c r="D36" s="126" t="s">
        <v>120</v>
      </c>
      <c r="E36" s="116">
        <v>0</v>
      </c>
    </row>
    <row r="37" spans="1:6" x14ac:dyDescent="0.25">
      <c r="D37" s="123"/>
    </row>
    <row r="38" spans="1:6" x14ac:dyDescent="0.25">
      <c r="A38" s="117" t="s">
        <v>152</v>
      </c>
      <c r="B38" s="118">
        <f>SUM(B36*12)</f>
        <v>246397.01519999997</v>
      </c>
      <c r="D38" s="124"/>
      <c r="E38" s="118"/>
    </row>
    <row r="39" spans="1:6" x14ac:dyDescent="0.25">
      <c r="D39" s="123"/>
    </row>
    <row r="40" spans="1:6" ht="21" x14ac:dyDescent="0.35">
      <c r="A40" s="358" t="s">
        <v>142</v>
      </c>
      <c r="B40" s="359"/>
      <c r="C40" s="359"/>
      <c r="D40" s="359"/>
      <c r="E40" s="360"/>
    </row>
    <row r="41" spans="1:6" ht="30" x14ac:dyDescent="0.25">
      <c r="A41" s="146" t="s">
        <v>118</v>
      </c>
      <c r="B41" s="147"/>
      <c r="D41" s="148" t="s">
        <v>121</v>
      </c>
      <c r="E41" s="147">
        <f>SUM(C18*G17)</f>
        <v>2070</v>
      </c>
    </row>
    <row r="42" spans="1:6" x14ac:dyDescent="0.25">
      <c r="D42" s="123"/>
      <c r="F42" s="179" t="s">
        <v>162</v>
      </c>
    </row>
    <row r="43" spans="1:6" ht="45" x14ac:dyDescent="0.25">
      <c r="A43" s="117" t="s">
        <v>164</v>
      </c>
      <c r="B43" s="118">
        <f>SUM(B41*F49)</f>
        <v>0</v>
      </c>
      <c r="D43" s="126" t="s">
        <v>122</v>
      </c>
      <c r="E43" s="116">
        <f>SUM(G16*C16*F43)</f>
        <v>600</v>
      </c>
      <c r="F43" s="231">
        <v>1</v>
      </c>
    </row>
    <row r="45" spans="1:6" ht="18.75" x14ac:dyDescent="0.3">
      <c r="A45" s="122" t="s">
        <v>167</v>
      </c>
      <c r="B45" s="120">
        <f>SUM(B38+B43)</f>
        <v>246397.01519999997</v>
      </c>
    </row>
    <row r="48" spans="1:6" ht="30" x14ac:dyDescent="0.25">
      <c r="F48" s="179" t="s">
        <v>163</v>
      </c>
    </row>
    <row r="49" spans="1:6" ht="60" x14ac:dyDescent="0.25">
      <c r="D49" s="126" t="s">
        <v>123</v>
      </c>
      <c r="E49" s="118">
        <f>SUM(E41*F49)</f>
        <v>2070</v>
      </c>
      <c r="F49" s="231">
        <v>1</v>
      </c>
    </row>
    <row r="50" spans="1:6" x14ac:dyDescent="0.25">
      <c r="A50" s="357" t="s">
        <v>160</v>
      </c>
      <c r="B50" s="357"/>
      <c r="D50" s="123"/>
    </row>
    <row r="51" spans="1:6" ht="18.75" x14ac:dyDescent="0.3">
      <c r="A51" t="s">
        <v>125</v>
      </c>
      <c r="B51" s="178">
        <f>F10</f>
        <v>20</v>
      </c>
      <c r="D51" s="126" t="s">
        <v>124</v>
      </c>
      <c r="E51" s="120">
        <f>SUM(E43+E49)</f>
        <v>2670</v>
      </c>
    </row>
    <row r="52" spans="1:6" ht="24.75" customHeight="1" x14ac:dyDescent="0.25">
      <c r="A52" s="160" t="s">
        <v>161</v>
      </c>
      <c r="B52" s="176">
        <f>SUM(D8/2)</f>
        <v>728</v>
      </c>
    </row>
    <row r="53" spans="1:6" ht="24.75" customHeight="1" x14ac:dyDescent="0.25">
      <c r="A53" t="s">
        <v>126</v>
      </c>
      <c r="B53">
        <f>B31</f>
        <v>10</v>
      </c>
    </row>
    <row r="54" spans="1:6" ht="24.75" customHeight="1" x14ac:dyDescent="0.25">
      <c r="A54" s="125" t="s">
        <v>149</v>
      </c>
      <c r="B54" s="232">
        <v>12</v>
      </c>
    </row>
    <row r="55" spans="1:6" ht="15.75" x14ac:dyDescent="0.25">
      <c r="A55" s="161" t="s">
        <v>127</v>
      </c>
      <c r="B55" s="162">
        <f>SUM(B51*B52*B53)</f>
        <v>145600</v>
      </c>
    </row>
    <row r="56" spans="1:6" x14ac:dyDescent="0.25">
      <c r="A56" s="81"/>
      <c r="B56" s="79"/>
    </row>
    <row r="63" spans="1:6" ht="24.75" customHeight="1" x14ac:dyDescent="0.25">
      <c r="A63" s="355" t="s">
        <v>153</v>
      </c>
      <c r="B63" s="356"/>
      <c r="C63" s="356"/>
      <c r="D63" s="356"/>
      <c r="E63" s="356"/>
      <c r="F63" s="356"/>
    </row>
    <row r="65" spans="1:5" x14ac:dyDescent="0.25">
      <c r="B65" s="131" t="s">
        <v>128</v>
      </c>
      <c r="C65" s="94" t="s">
        <v>129</v>
      </c>
    </row>
    <row r="66" spans="1:5" x14ac:dyDescent="0.25">
      <c r="A66" t="s">
        <v>130</v>
      </c>
      <c r="B66" s="128"/>
      <c r="C66" s="132">
        <f>SUM(B38)</f>
        <v>246397.01519999997</v>
      </c>
    </row>
    <row r="67" spans="1:5" x14ac:dyDescent="0.25">
      <c r="A67" t="s">
        <v>131</v>
      </c>
      <c r="B67" s="129"/>
      <c r="C67" s="133">
        <f>SUM(B43)</f>
        <v>0</v>
      </c>
    </row>
    <row r="68" spans="1:5" x14ac:dyDescent="0.25">
      <c r="A68" t="s">
        <v>132</v>
      </c>
      <c r="B68" s="129">
        <f>SUM(E51)</f>
        <v>2670</v>
      </c>
      <c r="C68" s="133"/>
    </row>
    <row r="69" spans="1:5" x14ac:dyDescent="0.25">
      <c r="A69" s="217" t="s">
        <v>201</v>
      </c>
      <c r="B69" s="232">
        <v>0</v>
      </c>
      <c r="C69" s="133"/>
      <c r="D69" s="217" t="s">
        <v>205</v>
      </c>
      <c r="E69" s="177"/>
    </row>
    <row r="70" spans="1:5" x14ac:dyDescent="0.25">
      <c r="B70" s="129"/>
      <c r="C70" s="133"/>
    </row>
    <row r="71" spans="1:5" x14ac:dyDescent="0.25">
      <c r="A71" s="135" t="s">
        <v>140</v>
      </c>
      <c r="B71" s="136">
        <f>SUM(B66:B70)</f>
        <v>2670</v>
      </c>
      <c r="C71" s="137">
        <f>SUM(C66:C70)</f>
        <v>246397.01519999997</v>
      </c>
    </row>
    <row r="72" spans="1:5" x14ac:dyDescent="0.25">
      <c r="B72" s="115"/>
      <c r="C72" s="115"/>
    </row>
    <row r="73" spans="1:5" x14ac:dyDescent="0.25">
      <c r="B73" s="115"/>
      <c r="C73" s="115"/>
    </row>
    <row r="74" spans="1:5" x14ac:dyDescent="0.25">
      <c r="A74" t="s">
        <v>141</v>
      </c>
      <c r="B74" s="143"/>
      <c r="C74" s="139"/>
    </row>
    <row r="75" spans="1:5" x14ac:dyDescent="0.25">
      <c r="B75" s="127"/>
      <c r="C75" s="140"/>
    </row>
    <row r="76" spans="1:5" x14ac:dyDescent="0.25">
      <c r="A76" t="s">
        <v>133</v>
      </c>
      <c r="B76" s="127"/>
      <c r="C76" s="140"/>
    </row>
    <row r="77" spans="1:5" x14ac:dyDescent="0.25">
      <c r="A77" t="s">
        <v>134</v>
      </c>
      <c r="B77" s="127"/>
      <c r="C77" s="140"/>
    </row>
    <row r="78" spans="1:5" ht="30" x14ac:dyDescent="0.25">
      <c r="A78" s="130" t="s">
        <v>135</v>
      </c>
      <c r="B78" s="127">
        <f>SUM(B53*2000)</f>
        <v>20000</v>
      </c>
      <c r="C78" s="140"/>
    </row>
    <row r="79" spans="1:5" x14ac:dyDescent="0.25">
      <c r="A79" t="s">
        <v>136</v>
      </c>
      <c r="B79" s="127"/>
      <c r="C79" s="140"/>
    </row>
    <row r="80" spans="1:5" x14ac:dyDescent="0.25">
      <c r="A80" t="s">
        <v>137</v>
      </c>
      <c r="B80" s="127">
        <f>SUM(J29*B53*12)</f>
        <v>70399.147199999992</v>
      </c>
      <c r="C80" s="140"/>
    </row>
    <row r="81" spans="1:5" x14ac:dyDescent="0.25">
      <c r="A81" t="s">
        <v>138</v>
      </c>
      <c r="B81" s="144"/>
      <c r="C81" s="141"/>
    </row>
    <row r="82" spans="1:5" x14ac:dyDescent="0.25">
      <c r="A82" s="135" t="s">
        <v>140</v>
      </c>
      <c r="B82" s="134">
        <f>SUM(B74:B81)</f>
        <v>90399.147199999992</v>
      </c>
      <c r="C82" s="142"/>
    </row>
    <row r="83" spans="1:5" x14ac:dyDescent="0.25">
      <c r="B83" s="115"/>
      <c r="C83" s="115"/>
    </row>
    <row r="84" spans="1:5" x14ac:dyDescent="0.25">
      <c r="A84" s="135" t="s">
        <v>143</v>
      </c>
      <c r="B84" s="138">
        <f>SUM(B71+B82)</f>
        <v>93069.147199999992</v>
      </c>
      <c r="C84" s="134">
        <f>SUM(C71+C82)</f>
        <v>246397.01519999997</v>
      </c>
    </row>
    <row r="85" spans="1:5" x14ac:dyDescent="0.25">
      <c r="B85" s="115"/>
      <c r="C85" s="115"/>
    </row>
    <row r="86" spans="1:5" ht="34.5" customHeight="1" x14ac:dyDescent="0.25">
      <c r="A86" s="221" t="s">
        <v>191</v>
      </c>
      <c r="B86" s="345">
        <f>IF(B84&lt;C84,B84-C84,B84-C84)</f>
        <v>-153327.86799999996</v>
      </c>
      <c r="C86" s="346"/>
    </row>
    <row r="87" spans="1:5" x14ac:dyDescent="0.25">
      <c r="A87" s="153"/>
      <c r="B87" s="154"/>
      <c r="C87" s="154"/>
    </row>
    <row r="88" spans="1:5" ht="63.75" customHeight="1" x14ac:dyDescent="0.25">
      <c r="A88" s="361" t="s">
        <v>158</v>
      </c>
      <c r="B88" s="361"/>
      <c r="C88" s="361"/>
      <c r="D88" s="159" t="s">
        <v>155</v>
      </c>
    </row>
    <row r="89" spans="1:5" x14ac:dyDescent="0.25">
      <c r="A89" s="150" t="s">
        <v>144</v>
      </c>
      <c r="B89" s="94"/>
      <c r="C89" s="155">
        <f>SUM(C66/10/12)</f>
        <v>2053.3084599999997</v>
      </c>
      <c r="D89" s="347">
        <f>SUM(B95/C95*100)</f>
        <v>136.81137611442949</v>
      </c>
    </row>
    <row r="90" spans="1:5" x14ac:dyDescent="0.25">
      <c r="A90" s="150" t="s">
        <v>145</v>
      </c>
      <c r="B90" s="94"/>
      <c r="C90" s="155">
        <f>SUM(B41/12)</f>
        <v>0</v>
      </c>
      <c r="D90" s="348"/>
    </row>
    <row r="91" spans="1:5" ht="30" x14ac:dyDescent="0.25">
      <c r="A91" s="225" t="s">
        <v>148</v>
      </c>
      <c r="B91" s="226">
        <v>2000</v>
      </c>
      <c r="C91" s="155"/>
      <c r="D91" s="348"/>
      <c r="E91" s="165" t="s">
        <v>156</v>
      </c>
    </row>
    <row r="92" spans="1:5" x14ac:dyDescent="0.25">
      <c r="A92" s="225" t="s">
        <v>154</v>
      </c>
      <c r="B92" s="226">
        <f>SUM(B80/B53/12)</f>
        <v>586.65955999999994</v>
      </c>
      <c r="C92" s="155"/>
      <c r="D92" s="348"/>
    </row>
    <row r="93" spans="1:5" x14ac:dyDescent="0.25">
      <c r="A93" s="227" t="s">
        <v>146</v>
      </c>
      <c r="B93" s="226">
        <f>SUM(B68/12/F49)</f>
        <v>222.5</v>
      </c>
      <c r="C93" s="155"/>
      <c r="D93" s="348"/>
    </row>
    <row r="94" spans="1:5" x14ac:dyDescent="0.25">
      <c r="A94" s="227" t="s">
        <v>147</v>
      </c>
      <c r="B94" s="228">
        <f>SUM(B69/B53/12)</f>
        <v>0</v>
      </c>
      <c r="C94" s="100"/>
      <c r="D94" s="348"/>
    </row>
    <row r="95" spans="1:5" x14ac:dyDescent="0.25">
      <c r="A95" s="152" t="s">
        <v>143</v>
      </c>
      <c r="B95" s="156">
        <f>SUM(B88:B94)</f>
        <v>2809.1595600000001</v>
      </c>
      <c r="C95" s="157">
        <f>SUM(C89:C94)</f>
        <v>2053.3084599999997</v>
      </c>
      <c r="D95" s="349"/>
    </row>
    <row r="96" spans="1:5" x14ac:dyDescent="0.25">
      <c r="A96" s="149"/>
    </row>
    <row r="97" spans="1:5" ht="30" x14ac:dyDescent="0.25">
      <c r="A97" s="220" t="s">
        <v>192</v>
      </c>
      <c r="B97" s="345">
        <f>IF(B95&lt;C95,B95-C95,B95-C95)</f>
        <v>755.85110000000032</v>
      </c>
      <c r="C97" s="346"/>
    </row>
    <row r="100" spans="1:5" ht="45.75" customHeight="1" x14ac:dyDescent="0.25">
      <c r="A100" s="362" t="s">
        <v>159</v>
      </c>
      <c r="B100" s="363"/>
      <c r="C100" s="364"/>
      <c r="D100" s="159" t="s">
        <v>155</v>
      </c>
    </row>
    <row r="101" spans="1:5" x14ac:dyDescent="0.25">
      <c r="A101" s="150" t="s">
        <v>144</v>
      </c>
      <c r="B101" s="94"/>
      <c r="C101" s="155">
        <f>SUM(C66/B53/12)</f>
        <v>2053.3084599999997</v>
      </c>
      <c r="D101" s="347">
        <f>SUM(B106/C106*100)</f>
        <v>39.431949742222365</v>
      </c>
    </row>
    <row r="102" spans="1:5" x14ac:dyDescent="0.25">
      <c r="A102" s="150" t="s">
        <v>145</v>
      </c>
      <c r="B102" s="94"/>
      <c r="C102" s="155"/>
      <c r="D102" s="348"/>
    </row>
    <row r="103" spans="1:5" x14ac:dyDescent="0.25">
      <c r="A103" s="164" t="s">
        <v>154</v>
      </c>
      <c r="B103" s="226">
        <f>SUM(B80/B53/12)</f>
        <v>586.65955999999994</v>
      </c>
      <c r="C103" s="155"/>
      <c r="D103" s="348"/>
      <c r="E103" s="353" t="s">
        <v>157</v>
      </c>
    </row>
    <row r="104" spans="1:5" x14ac:dyDescent="0.25">
      <c r="A104" s="151" t="s">
        <v>146</v>
      </c>
      <c r="B104" s="226">
        <v>223</v>
      </c>
      <c r="C104" s="155"/>
      <c r="D104" s="348"/>
      <c r="E104" s="354"/>
    </row>
    <row r="105" spans="1:5" x14ac:dyDescent="0.25">
      <c r="A105" s="151" t="s">
        <v>147</v>
      </c>
      <c r="B105" s="228">
        <f>SUM(B94)</f>
        <v>0</v>
      </c>
      <c r="C105" s="100"/>
      <c r="D105" s="348"/>
    </row>
    <row r="106" spans="1:5" x14ac:dyDescent="0.25">
      <c r="A106" s="152" t="s">
        <v>143</v>
      </c>
      <c r="B106" s="156">
        <f>SUM(B100:B105)</f>
        <v>809.65955999999994</v>
      </c>
      <c r="C106" s="157">
        <f>SUM(C101:C105)</f>
        <v>2053.3084599999997</v>
      </c>
      <c r="D106" s="349"/>
    </row>
    <row r="107" spans="1:5" x14ac:dyDescent="0.25">
      <c r="A107" s="149"/>
    </row>
    <row r="108" spans="1:5" ht="30" customHeight="1" x14ac:dyDescent="0.25">
      <c r="A108" s="221" t="s">
        <v>191</v>
      </c>
      <c r="B108" s="345">
        <f>IF(B106&lt;C106,B106-C106,B106-C106)</f>
        <v>-1243.6488999999997</v>
      </c>
      <c r="C108" s="346"/>
    </row>
    <row r="110" spans="1:5" ht="18.75" x14ac:dyDescent="0.3">
      <c r="A110" s="180" t="s">
        <v>193</v>
      </c>
      <c r="B110" s="199">
        <f>((B108*11)-B97)*B53</f>
        <v>-144359.88999999996</v>
      </c>
    </row>
    <row r="111" spans="1:5" ht="18.75" x14ac:dyDescent="0.3">
      <c r="A111" s="180" t="s">
        <v>194</v>
      </c>
      <c r="B111" s="199">
        <f>B110/12</f>
        <v>-12029.99083333333</v>
      </c>
    </row>
    <row r="112" spans="1:5" ht="37.5" x14ac:dyDescent="0.3">
      <c r="A112" s="223" t="s">
        <v>195</v>
      </c>
      <c r="B112" s="224">
        <f>B111/B53</f>
        <v>-1202.9990833333329</v>
      </c>
    </row>
    <row r="113" spans="1:8" s="178" customFormat="1" ht="18.75" x14ac:dyDescent="0.3">
      <c r="A113" s="222"/>
      <c r="B113" s="200"/>
      <c r="C113" s="201"/>
    </row>
    <row r="115" spans="1:8" ht="28.5" x14ac:dyDescent="0.45">
      <c r="A115" s="340" t="s">
        <v>168</v>
      </c>
      <c r="B115" s="340"/>
      <c r="C115" s="340"/>
      <c r="D115" s="340"/>
      <c r="E115" s="340"/>
      <c r="F115" s="340"/>
      <c r="G115" s="340"/>
      <c r="H115" s="340"/>
    </row>
    <row r="116" spans="1:8" ht="39" customHeight="1" x14ac:dyDescent="0.4">
      <c r="A116" s="191" t="s">
        <v>209</v>
      </c>
      <c r="C116" s="193" t="s">
        <v>189</v>
      </c>
      <c r="D116" s="193" t="s">
        <v>188</v>
      </c>
    </row>
    <row r="117" spans="1:8" ht="18.75" x14ac:dyDescent="0.25">
      <c r="A117" s="181" t="s">
        <v>169</v>
      </c>
      <c r="B117" s="205">
        <f>C117*D117</f>
        <v>30</v>
      </c>
      <c r="C117" s="341">
        <f>B53</f>
        <v>10</v>
      </c>
      <c r="D117" s="343">
        <v>3</v>
      </c>
    </row>
    <row r="118" spans="1:8" ht="18.75" x14ac:dyDescent="0.25">
      <c r="A118" s="182" t="s">
        <v>170</v>
      </c>
      <c r="B118" s="192">
        <f>C117*D117</f>
        <v>30</v>
      </c>
      <c r="C118" s="341"/>
      <c r="D118" s="343"/>
    </row>
    <row r="119" spans="1:8" ht="18.75" x14ac:dyDescent="0.25">
      <c r="C119" s="197" t="s">
        <v>173</v>
      </c>
      <c r="D119" s="197" t="s">
        <v>174</v>
      </c>
      <c r="E119" s="197" t="s">
        <v>175</v>
      </c>
    </row>
    <row r="120" spans="1:8" ht="15.75" x14ac:dyDescent="0.25">
      <c r="A120" t="s">
        <v>171</v>
      </c>
      <c r="B120" s="185" t="s">
        <v>172</v>
      </c>
      <c r="C120" s="203">
        <f>+D120*4.33*E120</f>
        <v>363.72</v>
      </c>
      <c r="D120" s="184">
        <v>7</v>
      </c>
      <c r="E120" s="184">
        <f>+B54</f>
        <v>12</v>
      </c>
    </row>
    <row r="121" spans="1:8" ht="18.75" x14ac:dyDescent="0.25">
      <c r="A121" s="186" t="s">
        <v>176</v>
      </c>
      <c r="B121" s="234">
        <v>25</v>
      </c>
    </row>
    <row r="122" spans="1:8" ht="18.75" x14ac:dyDescent="0.25">
      <c r="A122" s="187" t="s">
        <v>177</v>
      </c>
      <c r="B122" s="233">
        <v>10</v>
      </c>
    </row>
    <row r="123" spans="1:8" ht="18.75" x14ac:dyDescent="0.3">
      <c r="A123" s="188" t="s">
        <v>178</v>
      </c>
      <c r="B123" s="206">
        <f>C120*B117*B121</f>
        <v>272790</v>
      </c>
      <c r="C123" s="207" t="s">
        <v>200</v>
      </c>
      <c r="D123" s="207"/>
      <c r="E123" s="216" t="s">
        <v>204</v>
      </c>
    </row>
    <row r="124" spans="1:8" ht="18.75" x14ac:dyDescent="0.3">
      <c r="A124" s="189" t="s">
        <v>179</v>
      </c>
      <c r="B124" s="190">
        <f>B122*C120*B118</f>
        <v>109116.00000000001</v>
      </c>
      <c r="E124" s="236">
        <v>9.67</v>
      </c>
    </row>
    <row r="125" spans="1:8" x14ac:dyDescent="0.25">
      <c r="E125" s="216">
        <v>1.4</v>
      </c>
    </row>
    <row r="126" spans="1:8" ht="26.25" x14ac:dyDescent="0.4">
      <c r="A126" s="191" t="s">
        <v>208</v>
      </c>
      <c r="E126" s="216">
        <f>SUM(E124*E125)</f>
        <v>13.537999999999998</v>
      </c>
    </row>
    <row r="127" spans="1:8" x14ac:dyDescent="0.25">
      <c r="A127" s="181" t="s">
        <v>169</v>
      </c>
      <c r="B127" s="204">
        <f>+B117</f>
        <v>30</v>
      </c>
      <c r="C127" s="342"/>
    </row>
    <row r="128" spans="1:8" x14ac:dyDescent="0.25">
      <c r="A128" s="182" t="s">
        <v>170</v>
      </c>
      <c r="B128">
        <f>+B118</f>
        <v>30</v>
      </c>
      <c r="C128" s="342"/>
    </row>
    <row r="129" spans="1:5" ht="18.75" x14ac:dyDescent="0.25">
      <c r="C129" s="197" t="s">
        <v>173</v>
      </c>
      <c r="D129" s="197" t="s">
        <v>174</v>
      </c>
      <c r="E129" s="197" t="s">
        <v>175</v>
      </c>
    </row>
    <row r="130" spans="1:5" ht="15.75" x14ac:dyDescent="0.25">
      <c r="A130" t="s">
        <v>171</v>
      </c>
      <c r="B130" s="196" t="str">
        <f>+B120</f>
        <v>CQP</v>
      </c>
      <c r="C130" s="203">
        <f>+D130*4.33*E130</f>
        <v>363.72</v>
      </c>
      <c r="D130" s="196">
        <f>+D120</f>
        <v>7</v>
      </c>
      <c r="E130" s="196">
        <f>+E120</f>
        <v>12</v>
      </c>
    </row>
    <row r="131" spans="1:5" ht="21" x14ac:dyDescent="0.25">
      <c r="A131" s="194" t="s">
        <v>180</v>
      </c>
      <c r="B131" s="235">
        <f>+E126</f>
        <v>13.537999999999998</v>
      </c>
    </row>
    <row r="132" spans="1:5" ht="37.5" x14ac:dyDescent="0.25">
      <c r="A132" s="195" t="s">
        <v>181</v>
      </c>
      <c r="B132" s="233">
        <v>0</v>
      </c>
      <c r="C132" s="198" t="s">
        <v>182</v>
      </c>
      <c r="D132" s="198" t="s">
        <v>183</v>
      </c>
      <c r="E132" s="198" t="s">
        <v>196</v>
      </c>
    </row>
    <row r="133" spans="1:5" ht="18.75" x14ac:dyDescent="0.3">
      <c r="A133" s="188" t="s">
        <v>206</v>
      </c>
      <c r="B133" s="190">
        <f>C130*B127*B131</f>
        <v>147721.2408</v>
      </c>
      <c r="C133" s="190">
        <f>+B133/B117</f>
        <v>4924.0413600000002</v>
      </c>
      <c r="D133" s="190">
        <f>+C133/E120</f>
        <v>410.33678000000003</v>
      </c>
      <c r="E133" s="190">
        <f>+D133*D117</f>
        <v>1231.01034</v>
      </c>
    </row>
    <row r="134" spans="1:5" ht="18.75" x14ac:dyDescent="0.3">
      <c r="A134" s="189" t="s">
        <v>207</v>
      </c>
      <c r="B134" s="190">
        <f>B132*C130*B128</f>
        <v>0</v>
      </c>
      <c r="C134" s="190">
        <f>+B134/B118</f>
        <v>0</v>
      </c>
      <c r="D134" s="190">
        <f>+C134/E120</f>
        <v>0</v>
      </c>
      <c r="E134" s="190">
        <f>+D134*D117</f>
        <v>0</v>
      </c>
    </row>
    <row r="137" spans="1:5" ht="56.25" x14ac:dyDescent="0.4">
      <c r="A137" s="191" t="s">
        <v>184</v>
      </c>
      <c r="B137" s="198" t="s">
        <v>187</v>
      </c>
      <c r="C137" s="198" t="s">
        <v>182</v>
      </c>
      <c r="D137" s="198" t="s">
        <v>190</v>
      </c>
    </row>
    <row r="138" spans="1:5" ht="18.75" x14ac:dyDescent="0.3">
      <c r="A138" s="188" t="s">
        <v>185</v>
      </c>
      <c r="B138" s="211">
        <f>+C138*C117</f>
        <v>3361.3508000000547</v>
      </c>
      <c r="C138" s="210">
        <f>+D138*E130</f>
        <v>336.13508000000547</v>
      </c>
      <c r="D138" s="209">
        <f>E133+B112</f>
        <v>28.011256666667123</v>
      </c>
    </row>
    <row r="139" spans="1:5" ht="18.75" x14ac:dyDescent="0.3">
      <c r="A139" s="189" t="s">
        <v>186</v>
      </c>
      <c r="B139" s="211">
        <f>+C139*C117</f>
        <v>-144359.88999999996</v>
      </c>
      <c r="C139" s="210">
        <f>+D139*E130</f>
        <v>-14435.988999999994</v>
      </c>
      <c r="D139" s="209">
        <f>E134+B112</f>
        <v>-1202.9990833333329</v>
      </c>
    </row>
    <row r="140" spans="1:5" x14ac:dyDescent="0.25">
      <c r="B140" s="212"/>
    </row>
    <row r="143" spans="1:5" x14ac:dyDescent="0.25">
      <c r="B143" s="215" t="s">
        <v>197</v>
      </c>
    </row>
    <row r="144" spans="1:5" x14ac:dyDescent="0.25">
      <c r="B144" s="202"/>
      <c r="C144" t="s">
        <v>198</v>
      </c>
    </row>
    <row r="145" spans="2:3" x14ac:dyDescent="0.25">
      <c r="B145" s="208"/>
      <c r="C145" t="s">
        <v>199</v>
      </c>
    </row>
    <row r="146" spans="2:3" x14ac:dyDescent="0.25">
      <c r="B146" s="214"/>
      <c r="C146" t="s">
        <v>202</v>
      </c>
    </row>
    <row r="147" spans="2:3" x14ac:dyDescent="0.25">
      <c r="B147" s="213"/>
      <c r="C147" t="s">
        <v>203</v>
      </c>
    </row>
  </sheetData>
  <sheetProtection formatCells="0" formatColumns="0" formatRows="0" selectLockedCells="1"/>
  <mergeCells count="24">
    <mergeCell ref="A100:C100"/>
    <mergeCell ref="B4:D4"/>
    <mergeCell ref="F5:G5"/>
    <mergeCell ref="C15:D15"/>
    <mergeCell ref="C18:C20"/>
    <mergeCell ref="D18:D20"/>
    <mergeCell ref="B17:B20"/>
    <mergeCell ref="G17:G20"/>
    <mergeCell ref="A115:H115"/>
    <mergeCell ref="C117:C118"/>
    <mergeCell ref="C127:C128"/>
    <mergeCell ref="D117:D118"/>
    <mergeCell ref="G15:H15"/>
    <mergeCell ref="B108:C108"/>
    <mergeCell ref="D101:D106"/>
    <mergeCell ref="D89:D95"/>
    <mergeCell ref="H17:H20"/>
    <mergeCell ref="E103:E104"/>
    <mergeCell ref="A63:F63"/>
    <mergeCell ref="A50:B50"/>
    <mergeCell ref="A40:E40"/>
    <mergeCell ref="B86:C86"/>
    <mergeCell ref="A88:C88"/>
    <mergeCell ref="B97:C9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PLAQUETTE GENERALE</vt:lpstr>
      <vt:lpstr>CALCUL CTR PRO </vt:lpstr>
      <vt:lpstr>'PLAQUETTE GENERALE'!Zone_d_impression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CASTRIEN Colin</dc:creator>
  <cp:lastModifiedBy>CASTRIEN Colin</cp:lastModifiedBy>
  <cp:lastPrinted>2016-09-26T10:48:46Z</cp:lastPrinted>
  <dcterms:created xsi:type="dcterms:W3CDTF">2016-09-26T06:14:57Z</dcterms:created>
  <dcterms:modified xsi:type="dcterms:W3CDTF">2016-11-14T07:12:10Z</dcterms:modified>
</cp:coreProperties>
</file>